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産業建設部\上下水道課\料金係\料金関係\料金表\R8水道基本料金減免)R8.4月~9月\"/>
    </mc:Choice>
  </mc:AlternateContent>
  <xr:revisionPtr revIDLastSave="0" documentId="13_ncr:1_{8EB325C4-64D8-43A7-81AF-6D22FED514E9}" xr6:coauthVersionLast="47" xr6:coauthVersionMax="47" xr10:uidLastSave="{00000000-0000-0000-0000-000000000000}"/>
  <bookViews>
    <workbookView xWindow="-110" yWindow="-110" windowWidth="19420" windowHeight="10300" tabRatio="756" xr2:uid="{00000000-000D-0000-FFFF-FFFF00000000}"/>
  </bookViews>
  <sheets>
    <sheet name="一般用（20mm以下）" sheetId="10" r:id="rId1"/>
    <sheet name="一般用（25mm以上）" sheetId="11" r:id="rId2"/>
    <sheet name="共同住宅用" sheetId="15" r:id="rId3"/>
    <sheet name="官公署用（13～75㎜）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2" l="1"/>
  <c r="G13" i="15"/>
  <c r="E13" i="11"/>
  <c r="E13" i="10"/>
  <c r="G13" i="12" l="1"/>
  <c r="I13" i="15"/>
  <c r="G13" i="11"/>
  <c r="F18" i="15" l="1"/>
  <c r="D19" i="15" s="1"/>
  <c r="G19" i="15" s="1"/>
  <c r="H19" i="15" s="1"/>
  <c r="F17" i="15"/>
  <c r="D18" i="15" s="1"/>
  <c r="F16" i="15"/>
  <c r="D17" i="15" s="1"/>
  <c r="F15" i="15"/>
  <c r="D16" i="15" s="1"/>
  <c r="F14" i="15"/>
  <c r="D15" i="15" s="1"/>
  <c r="G17" i="15" l="1"/>
  <c r="H17" i="15" s="1"/>
  <c r="G18" i="15"/>
  <c r="H18" i="15" s="1"/>
  <c r="G16" i="15"/>
  <c r="H16" i="15" s="1"/>
  <c r="G15" i="15"/>
  <c r="H15" i="15" s="1"/>
  <c r="G14" i="15"/>
  <c r="H14" i="15" s="1"/>
  <c r="I14" i="15" l="1"/>
  <c r="H20" i="15"/>
  <c r="H21" i="15" s="1"/>
  <c r="H23" i="15" s="1"/>
  <c r="H22" i="15" s="1"/>
  <c r="G20" i="15"/>
  <c r="G21" i="15" s="1"/>
  <c r="G13" i="10"/>
  <c r="E14" i="10"/>
  <c r="F14" i="10" s="1"/>
  <c r="E19" i="11"/>
  <c r="F19" i="11" s="1"/>
  <c r="G14" i="10" l="1"/>
  <c r="G22" i="15"/>
  <c r="G23" i="15" s="1"/>
  <c r="I23" i="15" s="1"/>
  <c r="I21" i="15"/>
  <c r="E16" i="12"/>
  <c r="E15" i="12"/>
  <c r="E14" i="12"/>
  <c r="I22" i="15" l="1"/>
  <c r="F16" i="12"/>
  <c r="G16" i="12" s="1"/>
  <c r="F14" i="12"/>
  <c r="G14" i="12" s="1"/>
  <c r="F15" i="12"/>
  <c r="G15" i="12" s="1"/>
  <c r="E18" i="11"/>
  <c r="F18" i="11" s="1"/>
  <c r="E17" i="11"/>
  <c r="F17" i="11" s="1"/>
  <c r="E16" i="11"/>
  <c r="F16" i="11" s="1"/>
  <c r="E15" i="11"/>
  <c r="F15" i="11" s="1"/>
  <c r="E14" i="11"/>
  <c r="F14" i="11" s="1"/>
  <c r="E19" i="10"/>
  <c r="F19" i="10" s="1"/>
  <c r="E18" i="10"/>
  <c r="F18" i="10" s="1"/>
  <c r="E17" i="10"/>
  <c r="F17" i="10" s="1"/>
  <c r="E16" i="10"/>
  <c r="F16" i="10" s="1"/>
  <c r="E15" i="10"/>
  <c r="F15" i="10" s="1"/>
  <c r="F17" i="12" l="1"/>
  <c r="F18" i="12" s="1"/>
  <c r="F20" i="12" s="1"/>
  <c r="F19" i="12" s="1"/>
  <c r="G17" i="12"/>
  <c r="G14" i="11"/>
  <c r="F20" i="11"/>
  <c r="F21" i="11" s="1"/>
  <c r="F23" i="11" s="1"/>
  <c r="F22" i="11" s="1"/>
  <c r="F20" i="10"/>
  <c r="F21" i="10" s="1"/>
  <c r="F23" i="10" s="1"/>
  <c r="F22" i="10" s="1"/>
  <c r="E17" i="12"/>
  <c r="E18" i="12" s="1"/>
  <c r="E20" i="10"/>
  <c r="E21" i="10" s="1"/>
  <c r="E20" i="11"/>
  <c r="E21" i="11" s="1"/>
  <c r="E22" i="11" s="1"/>
  <c r="G18" i="12" l="1"/>
  <c r="G21" i="11"/>
  <c r="G21" i="10"/>
  <c r="E22" i="10"/>
  <c r="E23" i="10" s="1"/>
  <c r="G23" i="10" s="1"/>
  <c r="E19" i="12"/>
  <c r="E23" i="11"/>
  <c r="G23" i="11" s="1"/>
  <c r="G22" i="11" l="1"/>
  <c r="G22" i="10"/>
  <c r="E20" i="12"/>
  <c r="G20" i="12" s="1"/>
  <c r="G19" i="12" s="1"/>
</calcChain>
</file>

<file path=xl/sharedStrings.xml><?xml version="1.0" encoding="utf-8"?>
<sst xmlns="http://schemas.openxmlformats.org/spreadsheetml/2006/main" count="204" uniqueCount="66">
  <si>
    <t>口径
(mm)</t>
  </si>
  <si>
    <t>単価
（円）</t>
  </si>
  <si>
    <t>第1段</t>
    <rPh sb="0" eb="1">
      <t>ダイ</t>
    </rPh>
    <rPh sb="2" eb="3">
      <t>ダン</t>
    </rPh>
    <phoneticPr fontId="2"/>
  </si>
  <si>
    <t>第2段</t>
    <rPh sb="0" eb="1">
      <t>ダイ</t>
    </rPh>
    <rPh sb="2" eb="3">
      <t>ダン</t>
    </rPh>
    <phoneticPr fontId="2"/>
  </si>
  <si>
    <t>第3段</t>
    <rPh sb="0" eb="1">
      <t>ダイ</t>
    </rPh>
    <rPh sb="2" eb="3">
      <t>ダン</t>
    </rPh>
    <phoneticPr fontId="2"/>
  </si>
  <si>
    <t>第4段</t>
    <rPh sb="0" eb="1">
      <t>ダイ</t>
    </rPh>
    <rPh sb="2" eb="3">
      <t>ダン</t>
    </rPh>
    <phoneticPr fontId="2"/>
  </si>
  <si>
    <t>第5段</t>
    <rPh sb="0" eb="1">
      <t>ダイ</t>
    </rPh>
    <rPh sb="2" eb="3">
      <t>ダン</t>
    </rPh>
    <phoneticPr fontId="2"/>
  </si>
  <si>
    <t>13～20mm</t>
  </si>
  <si>
    <t>第6段</t>
    <rPh sb="0" eb="1">
      <t>ダイ</t>
    </rPh>
    <rPh sb="2" eb="3">
      <t>ダン</t>
    </rPh>
    <phoneticPr fontId="2"/>
  </si>
  <si>
    <t>段階</t>
    <rPh sb="0" eb="2">
      <t>ダンカイ</t>
    </rPh>
    <phoneticPr fontId="2"/>
  </si>
  <si>
    <t>使用水量</t>
    <rPh sb="0" eb="2">
      <t>シヨウ</t>
    </rPh>
    <rPh sb="2" eb="4">
      <t>スイリョウ</t>
    </rPh>
    <phoneticPr fontId="2"/>
  </si>
  <si>
    <t>単価</t>
    <rPh sb="0" eb="2">
      <t>タンカ</t>
    </rPh>
    <phoneticPr fontId="2"/>
  </si>
  <si>
    <t>水道料金（税抜き）</t>
    <rPh sb="0" eb="2">
      <t>スイドウ</t>
    </rPh>
    <rPh sb="2" eb="4">
      <t>リョウキン</t>
    </rPh>
    <rPh sb="5" eb="6">
      <t>ゼイ</t>
    </rPh>
    <rPh sb="6" eb="7">
      <t>ヌ</t>
    </rPh>
    <phoneticPr fontId="2"/>
  </si>
  <si>
    <t xml:space="preserve">超過料金
</t>
    <phoneticPr fontId="2"/>
  </si>
  <si>
    <t>基本料金　</t>
    <rPh sb="0" eb="2">
      <t>キホン</t>
    </rPh>
    <rPh sb="2" eb="4">
      <t>リョウキン</t>
    </rPh>
    <phoneticPr fontId="2"/>
  </si>
  <si>
    <t>消費税　</t>
    <rPh sb="0" eb="3">
      <t>ショウヒゼイ</t>
    </rPh>
    <phoneticPr fontId="2"/>
  </si>
  <si>
    <t>口径（mm）</t>
    <rPh sb="0" eb="2">
      <t>コウケイ</t>
    </rPh>
    <phoneticPr fontId="2"/>
  </si>
  <si>
    <t>使用量(㎥)</t>
    <rPh sb="0" eb="2">
      <t>シヨウ</t>
    </rPh>
    <rPh sb="2" eb="3">
      <t>リョウ</t>
    </rPh>
    <phoneticPr fontId="2"/>
  </si>
  <si>
    <t>←任意の水量を入力</t>
    <rPh sb="1" eb="3">
      <t>ニンイ</t>
    </rPh>
    <rPh sb="4" eb="6">
      <t>スイリョウ</t>
    </rPh>
    <rPh sb="7" eb="9">
      <t>ニュウリョク</t>
    </rPh>
    <phoneticPr fontId="2"/>
  </si>
  <si>
    <t>←プルダウンで選択</t>
    <rPh sb="7" eb="9">
      <t>センタク</t>
    </rPh>
    <phoneticPr fontId="2"/>
  </si>
  <si>
    <r>
      <t>基本料金</t>
    </r>
    <r>
      <rPr>
        <sz val="9"/>
        <color theme="1"/>
        <rFont val="ＭＳ 明朝"/>
        <family val="1"/>
        <charset val="128"/>
      </rPr>
      <t>(月額、税抜き)</t>
    </r>
    <rPh sb="5" eb="6">
      <t>ツキ</t>
    </rPh>
    <rPh sb="6" eb="7">
      <t>ガク</t>
    </rPh>
    <rPh sb="8" eb="9">
      <t>ゼイ</t>
    </rPh>
    <rPh sb="9" eb="10">
      <t>ヌ</t>
    </rPh>
    <phoneticPr fontId="2"/>
  </si>
  <si>
    <t>25mm以上</t>
    <phoneticPr fontId="2"/>
  </si>
  <si>
    <t>13～75mm</t>
    <phoneticPr fontId="2"/>
  </si>
  <si>
    <t xml:space="preserve">従量料金
</t>
    <rPh sb="0" eb="2">
      <t>ジュウリョウ</t>
    </rPh>
    <rPh sb="2" eb="4">
      <t>リョウキン</t>
    </rPh>
    <phoneticPr fontId="2"/>
  </si>
  <si>
    <t>消費税10％</t>
    <rPh sb="0" eb="3">
      <t>ショウヒゼイ</t>
    </rPh>
    <phoneticPr fontId="2"/>
  </si>
  <si>
    <t>101㎥～　</t>
    <phoneticPr fontId="2"/>
  </si>
  <si>
    <t>61㎥～80㎥</t>
    <phoneticPr fontId="2"/>
  </si>
  <si>
    <t>81㎥～100㎥</t>
    <phoneticPr fontId="2"/>
  </si>
  <si>
    <t>41㎥～60㎥</t>
    <phoneticPr fontId="2"/>
  </si>
  <si>
    <t>21㎥～40㎥</t>
    <phoneticPr fontId="2"/>
  </si>
  <si>
    <t>1㎥～20㎥</t>
    <phoneticPr fontId="2"/>
  </si>
  <si>
    <t>1㎥～200㎥</t>
    <phoneticPr fontId="2"/>
  </si>
  <si>
    <t>単価（円）</t>
    <rPh sb="0" eb="2">
      <t>タンカ</t>
    </rPh>
    <rPh sb="3" eb="4">
      <t>エン</t>
    </rPh>
    <phoneticPr fontId="2"/>
  </si>
  <si>
    <t>201㎥～2000㎥</t>
    <phoneticPr fontId="2"/>
  </si>
  <si>
    <t>2001㎥～</t>
    <phoneticPr fontId="2"/>
  </si>
  <si>
    <t>1㎥～100㎥</t>
    <phoneticPr fontId="2"/>
  </si>
  <si>
    <t>101㎥～1000㎥</t>
    <phoneticPr fontId="2"/>
  </si>
  <si>
    <t>1001㎥～</t>
    <phoneticPr fontId="2"/>
  </si>
  <si>
    <r>
      <t>従量料金</t>
    </r>
    <r>
      <rPr>
        <sz val="9"/>
        <color theme="1"/>
        <rFont val="ＭＳ 明朝"/>
        <family val="1"/>
        <charset val="128"/>
      </rPr>
      <t>(月額、税抜き)</t>
    </r>
    <rPh sb="0" eb="2">
      <t>ジュウリョウ</t>
    </rPh>
    <phoneticPr fontId="2"/>
  </si>
  <si>
    <t>1㎥～10㎥</t>
    <phoneticPr fontId="2"/>
  </si>
  <si>
    <t>11㎥～20㎥</t>
    <phoneticPr fontId="2"/>
  </si>
  <si>
    <t>21㎥～30㎥</t>
    <phoneticPr fontId="2"/>
  </si>
  <si>
    <t>31㎥～40㎥</t>
    <phoneticPr fontId="2"/>
  </si>
  <si>
    <t>41㎥～50㎥</t>
    <phoneticPr fontId="2"/>
  </si>
  <si>
    <t>51㎥～　</t>
    <phoneticPr fontId="2"/>
  </si>
  <si>
    <t>入居戸数</t>
    <rPh sb="0" eb="2">
      <t>ニュウキョ</t>
    </rPh>
    <rPh sb="2" eb="4">
      <t>コスウ</t>
    </rPh>
    <phoneticPr fontId="2"/>
  </si>
  <si>
    <t>←入居戸数を入力</t>
    <rPh sb="1" eb="3">
      <t>ニュウキョ</t>
    </rPh>
    <rPh sb="3" eb="5">
      <t>コスウ</t>
    </rPh>
    <rPh sb="6" eb="8">
      <t>ニュウリョク</t>
    </rPh>
    <phoneticPr fontId="2"/>
  </si>
  <si>
    <t>～</t>
    <phoneticPr fontId="2"/>
  </si>
  <si>
    <t>東温市水道料金試算シート　（共同住宅用）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キョウドウ</t>
    </rPh>
    <rPh sb="16" eb="19">
      <t>ジュウタクヨウ</t>
    </rPh>
    <phoneticPr fontId="2"/>
  </si>
  <si>
    <t>東温市水道料金試算シート（官公署用）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3" eb="15">
      <t>カンコウ</t>
    </rPh>
    <rPh sb="15" eb="16">
      <t>ショ</t>
    </rPh>
    <rPh sb="16" eb="17">
      <t>ヨウ</t>
    </rPh>
    <phoneticPr fontId="2"/>
  </si>
  <si>
    <t>東温市水道料金試算シート　（口径25mm以上）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rPh sb="20" eb="22">
      <t>イジョウ</t>
    </rPh>
    <phoneticPr fontId="2"/>
  </si>
  <si>
    <t>東温市水道料金試算シート　（口径13mm～20mm）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phoneticPr fontId="2"/>
  </si>
  <si>
    <t>　</t>
    <phoneticPr fontId="2"/>
  </si>
  <si>
    <t>2ヶ月分</t>
    <rPh sb="2" eb="3">
      <t>ゲツ</t>
    </rPh>
    <rPh sb="3" eb="4">
      <t>フン</t>
    </rPh>
    <phoneticPr fontId="2"/>
  </si>
  <si>
    <t>従量料金計　②</t>
    <rPh sb="0" eb="2">
      <t>ジュウリョウ</t>
    </rPh>
    <rPh sb="2" eb="4">
      <t>リョウキン</t>
    </rPh>
    <rPh sb="4" eb="5">
      <t>ケイ</t>
    </rPh>
    <phoneticPr fontId="16"/>
  </si>
  <si>
    <t>①＋②＝Ａ</t>
    <phoneticPr fontId="16"/>
  </si>
  <si>
    <t>Ｂ</t>
    <phoneticPr fontId="16"/>
  </si>
  <si>
    <r>
      <t xml:space="preserve">水道料金(税込み)
</t>
    </r>
    <r>
      <rPr>
        <sz val="12"/>
        <color theme="1"/>
        <rFont val="ＭＳ 明朝"/>
        <family val="1"/>
        <charset val="128"/>
      </rPr>
      <t>❋10円未満切捨て</t>
    </r>
    <rPh sb="0" eb="2">
      <t>スイドウ</t>
    </rPh>
    <rPh sb="2" eb="4">
      <t>リョウキン</t>
    </rPh>
    <rPh sb="5" eb="7">
      <t>ゼイコ</t>
    </rPh>
    <phoneticPr fontId="2"/>
  </si>
  <si>
    <t>Ａ×1.1</t>
    <phoneticPr fontId="16"/>
  </si>
  <si>
    <t>減免した場合</t>
    <rPh sb="4" eb="6">
      <t>バアイ</t>
    </rPh>
    <phoneticPr fontId="16"/>
  </si>
  <si>
    <t>減免額</t>
    <rPh sb="0" eb="1">
      <t>ゲン</t>
    </rPh>
    <rPh sb="1" eb="2">
      <t>メン</t>
    </rPh>
    <rPh sb="2" eb="3">
      <t>ガク</t>
    </rPh>
    <phoneticPr fontId="16"/>
  </si>
  <si>
    <t>減免</t>
    <phoneticPr fontId="16"/>
  </si>
  <si>
    <t>通常の場合</t>
    <rPh sb="0" eb="2">
      <t>ツウジョウ</t>
    </rPh>
    <rPh sb="3" eb="5">
      <t>バアイ</t>
    </rPh>
    <phoneticPr fontId="16"/>
  </si>
  <si>
    <t>通常の場合と基本料金を減免した場合の水道料金の比較</t>
    <rPh sb="0" eb="2">
      <t>ツウジョウ</t>
    </rPh>
    <rPh sb="3" eb="5">
      <t>バアイ</t>
    </rPh>
    <rPh sb="6" eb="8">
      <t>キホン</t>
    </rPh>
    <rPh sb="8" eb="10">
      <t>リョウキン</t>
    </rPh>
    <rPh sb="11" eb="13">
      <t>ゲンメン</t>
    </rPh>
    <rPh sb="15" eb="17">
      <t>バアイ</t>
    </rPh>
    <rPh sb="18" eb="20">
      <t>スイドウ</t>
    </rPh>
    <rPh sb="20" eb="22">
      <t>リョウキン</t>
    </rPh>
    <rPh sb="23" eb="25">
      <t>ヒカク</t>
    </rPh>
    <phoneticPr fontId="16"/>
  </si>
  <si>
    <t>★今回の減免は、令和８年度６月期から１０月期までの３期分のみです。
（令和８年度１２月期から基本料金を含めた通常の料金に戻ります。）</t>
    <rPh sb="1" eb="3">
      <t>コンカイ</t>
    </rPh>
    <rPh sb="4" eb="6">
      <t>ゲンメン</t>
    </rPh>
    <rPh sb="8" eb="10">
      <t>レイワ</t>
    </rPh>
    <rPh sb="11" eb="12">
      <t>ネン</t>
    </rPh>
    <rPh sb="12" eb="13">
      <t>ド</t>
    </rPh>
    <rPh sb="14" eb="15">
      <t>ガツ</t>
    </rPh>
    <rPh sb="15" eb="16">
      <t>キ</t>
    </rPh>
    <rPh sb="20" eb="21">
      <t>ガツ</t>
    </rPh>
    <rPh sb="21" eb="22">
      <t>キ</t>
    </rPh>
    <rPh sb="26" eb="27">
      <t>キ</t>
    </rPh>
    <rPh sb="27" eb="28">
      <t>ブン</t>
    </rPh>
    <rPh sb="35" eb="37">
      <t>レイワ</t>
    </rPh>
    <rPh sb="38" eb="39">
      <t>ネン</t>
    </rPh>
    <rPh sb="39" eb="40">
      <t>ド</t>
    </rPh>
    <rPh sb="42" eb="43">
      <t>ガツ</t>
    </rPh>
    <rPh sb="43" eb="44">
      <t>キ</t>
    </rPh>
    <rPh sb="46" eb="48">
      <t>キホン</t>
    </rPh>
    <rPh sb="48" eb="50">
      <t>リョウキン</t>
    </rPh>
    <rPh sb="51" eb="52">
      <t>フク</t>
    </rPh>
    <rPh sb="54" eb="56">
      <t>ツウジョウ</t>
    </rPh>
    <rPh sb="57" eb="59">
      <t>リョウキン</t>
    </rPh>
    <rPh sb="60" eb="61">
      <t>モド</t>
    </rPh>
    <phoneticPr fontId="2"/>
  </si>
  <si>
    <t>★今回の減免は、令和８年度６月期から１０月期までの３期分のみです。
（令和８年度１２月期から基本料金を含めた通常の料金に戻ります。）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</si>
</sst>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円&quot;;[Red]\-#,##0"/>
    <numFmt numFmtId="178" formatCode="General&quot;㎥&quot;"/>
  </numFmts>
  <fonts count="2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b/>
      <sz val="18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/>
  </cellStyleXfs>
  <cellXfs count="117">
    <xf numFmtId="0" fontId="0" fillId="0" borderId="0" xfId="0">
      <alignment vertical="center"/>
    </xf>
    <xf numFmtId="176" fontId="6" fillId="0" borderId="4" xfId="6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4" xfId="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38" fontId="0" fillId="0" borderId="4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0" fillId="0" borderId="0" xfId="0" applyNumberForma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38" fontId="0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177" fontId="0" fillId="0" borderId="4" xfId="1" applyNumberFormat="1" applyFont="1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10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7" fontId="0" fillId="0" borderId="7" xfId="1" applyNumberFormat="1" applyFont="1" applyBorder="1">
      <alignment vertical="center"/>
    </xf>
    <xf numFmtId="177" fontId="0" fillId="0" borderId="7" xfId="1" applyNumberFormat="1" applyFont="1" applyBorder="1" applyAlignment="1">
      <alignment vertical="center"/>
    </xf>
    <xf numFmtId="177" fontId="0" fillId="0" borderId="3" xfId="1" applyNumberFormat="1" applyFont="1" applyBorder="1">
      <alignment vertical="center"/>
    </xf>
    <xf numFmtId="177" fontId="9" fillId="2" borderId="16" xfId="1" applyNumberFormat="1" applyFont="1" applyFill="1" applyBorder="1" applyAlignment="1">
      <alignment vertical="center" shrinkToFi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38" fontId="11" fillId="3" borderId="4" xfId="1" applyFont="1" applyFill="1" applyBorder="1" applyAlignment="1" applyProtection="1">
      <alignment horizontal="center" vertical="center"/>
      <protection locked="0"/>
    </xf>
    <xf numFmtId="177" fontId="0" fillId="0" borderId="7" xfId="1" applyNumberFormat="1" applyFont="1" applyFill="1" applyBorder="1" applyAlignment="1">
      <alignment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7" fontId="0" fillId="0" borderId="10" xfId="1" applyNumberFormat="1" applyFont="1" applyFill="1" applyBorder="1">
      <alignment vertical="center"/>
    </xf>
    <xf numFmtId="177" fontId="0" fillId="0" borderId="1" xfId="1" applyNumberFormat="1" applyFont="1" applyFill="1" applyBorder="1">
      <alignment vertical="center"/>
    </xf>
    <xf numFmtId="177" fontId="0" fillId="0" borderId="7" xfId="1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9" fontId="0" fillId="0" borderId="12" xfId="2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3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5" fillId="0" borderId="9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5" fillId="0" borderId="6" xfId="7" applyFont="1" applyBorder="1" applyAlignment="1">
      <alignment horizontal="right" vertical="center"/>
    </xf>
    <xf numFmtId="0" fontId="5" fillId="0" borderId="7" xfId="7" applyFont="1" applyBorder="1" applyAlignment="1">
      <alignment horizontal="right" vertical="center"/>
    </xf>
    <xf numFmtId="0" fontId="5" fillId="0" borderId="13" xfId="7" applyFont="1" applyBorder="1" applyAlignment="1">
      <alignment horizontal="left" vertical="center"/>
    </xf>
    <xf numFmtId="9" fontId="17" fillId="0" borderId="12" xfId="4" applyFont="1" applyFill="1" applyBorder="1" applyAlignment="1" applyProtection="1">
      <alignment horizontal="right" vertical="center"/>
      <protection locked="0" hidden="1"/>
    </xf>
    <xf numFmtId="9" fontId="17" fillId="0" borderId="14" xfId="4" applyFont="1" applyBorder="1" applyAlignment="1">
      <alignment horizontal="right" vertical="center"/>
    </xf>
    <xf numFmtId="0" fontId="5" fillId="0" borderId="17" xfId="7" applyFont="1" applyFill="1" applyBorder="1" applyAlignment="1">
      <alignment horizontal="right" vertical="center"/>
    </xf>
    <xf numFmtId="0" fontId="5" fillId="0" borderId="4" xfId="7" applyFont="1" applyBorder="1" applyAlignment="1">
      <alignment horizontal="center" vertical="center"/>
    </xf>
    <xf numFmtId="177" fontId="5" fillId="0" borderId="4" xfId="5" applyNumberFormat="1" applyFont="1" applyBorder="1" applyAlignment="1">
      <alignment horizontal="center" vertical="center"/>
    </xf>
    <xf numFmtId="177" fontId="5" fillId="0" borderId="4" xfId="7" applyNumberFormat="1" applyFont="1" applyBorder="1">
      <alignment vertical="center"/>
    </xf>
    <xf numFmtId="177" fontId="5" fillId="0" borderId="11" xfId="5" applyNumberFormat="1" applyFont="1" applyBorder="1">
      <alignment vertical="center"/>
    </xf>
    <xf numFmtId="177" fontId="5" fillId="0" borderId="11" xfId="7" applyNumberFormat="1" applyFont="1" applyBorder="1">
      <alignment vertical="center"/>
    </xf>
    <xf numFmtId="0" fontId="5" fillId="0" borderId="10" xfId="7" applyFont="1" applyBorder="1">
      <alignment vertical="center"/>
    </xf>
    <xf numFmtId="0" fontId="5" fillId="0" borderId="1" xfId="7" applyFont="1" applyBorder="1">
      <alignment vertical="center"/>
    </xf>
    <xf numFmtId="177" fontId="5" fillId="0" borderId="7" xfId="5" applyNumberFormat="1" applyFont="1" applyBorder="1">
      <alignment vertical="center"/>
    </xf>
    <xf numFmtId="0" fontId="5" fillId="0" borderId="4" xfId="7" applyFont="1" applyBorder="1">
      <alignment vertical="center"/>
    </xf>
    <xf numFmtId="177" fontId="5" fillId="0" borderId="7" xfId="5" applyNumberFormat="1" applyFont="1" applyBorder="1" applyAlignment="1">
      <alignment vertical="center"/>
    </xf>
    <xf numFmtId="177" fontId="5" fillId="0" borderId="3" xfId="5" applyNumberFormat="1" applyFont="1" applyBorder="1">
      <alignment vertical="center"/>
    </xf>
    <xf numFmtId="177" fontId="5" fillId="0" borderId="3" xfId="7" applyNumberFormat="1" applyFont="1" applyBorder="1">
      <alignment vertical="center"/>
    </xf>
    <xf numFmtId="177" fontId="11" fillId="0" borderId="15" xfId="5" applyNumberFormat="1" applyFont="1" applyFill="1" applyBorder="1" applyAlignment="1">
      <alignment vertical="center" shrinkToFit="1"/>
    </xf>
    <xf numFmtId="177" fontId="18" fillId="0" borderId="19" xfId="7" applyNumberFormat="1" applyFont="1" applyBorder="1">
      <alignment vertical="center"/>
    </xf>
    <xf numFmtId="0" fontId="1" fillId="0" borderId="0" xfId="7">
      <alignment vertical="center"/>
    </xf>
    <xf numFmtId="0" fontId="5" fillId="0" borderId="0" xfId="7" applyFont="1">
      <alignment vertical="center"/>
    </xf>
    <xf numFmtId="0" fontId="19" fillId="0" borderId="0" xfId="7" applyFont="1">
      <alignment vertical="center"/>
    </xf>
    <xf numFmtId="177" fontId="9" fillId="0" borderId="16" xfId="1" applyNumberFormat="1" applyFont="1" applyFill="1" applyBorder="1" applyAlignment="1">
      <alignment vertical="center" shrinkToFit="1"/>
    </xf>
    <xf numFmtId="178" fontId="5" fillId="0" borderId="20" xfId="0" applyNumberFormat="1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178" fontId="5" fillId="0" borderId="22" xfId="0" applyNumberFormat="1" applyFont="1" applyFill="1" applyBorder="1" applyAlignment="1">
      <alignment horizontal="left" vertical="center" shrinkToFit="1"/>
    </xf>
    <xf numFmtId="177" fontId="5" fillId="0" borderId="2" xfId="5" applyNumberFormat="1" applyFont="1" applyBorder="1">
      <alignment vertical="center"/>
    </xf>
    <xf numFmtId="177" fontId="5" fillId="0" borderId="2" xfId="7" applyNumberFormat="1" applyFont="1" applyBorder="1">
      <alignment vertical="center"/>
    </xf>
    <xf numFmtId="178" fontId="5" fillId="0" borderId="23" xfId="0" applyNumberFormat="1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178" fontId="5" fillId="0" borderId="25" xfId="0" applyNumberFormat="1" applyFont="1" applyFill="1" applyBorder="1" applyAlignment="1">
      <alignment horizontal="left" vertical="center" shrinkToFit="1"/>
    </xf>
    <xf numFmtId="177" fontId="5" fillId="0" borderId="10" xfId="5" applyNumberFormat="1" applyFont="1" applyBorder="1">
      <alignment vertical="center"/>
    </xf>
    <xf numFmtId="178" fontId="5" fillId="0" borderId="26" xfId="0" applyNumberFormat="1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177" fontId="5" fillId="0" borderId="1" xfId="5" applyNumberFormat="1" applyFont="1" applyBorder="1">
      <alignment vertical="center"/>
    </xf>
    <xf numFmtId="177" fontId="9" fillId="0" borderId="29" xfId="1" applyNumberFormat="1" applyFont="1" applyFill="1" applyBorder="1" applyAlignment="1">
      <alignment vertical="center" shrinkToFit="1"/>
    </xf>
    <xf numFmtId="0" fontId="0" fillId="0" borderId="17" xfId="0" applyBorder="1">
      <alignment vertical="center"/>
    </xf>
    <xf numFmtId="0" fontId="5" fillId="0" borderId="29" xfId="7" applyFont="1" applyFill="1" applyBorder="1" applyAlignment="1">
      <alignment horizontal="right" vertical="center"/>
    </xf>
    <xf numFmtId="0" fontId="20" fillId="0" borderId="0" xfId="7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5" fillId="0" borderId="4" xfId="7" applyFont="1" applyBorder="1" applyAlignment="1">
      <alignment horizontal="left" vertical="center"/>
    </xf>
    <xf numFmtId="0" fontId="5" fillId="0" borderId="5" xfId="7" applyFont="1" applyBorder="1" applyAlignment="1">
      <alignment horizontal="left" vertical="center"/>
    </xf>
    <xf numFmtId="0" fontId="11" fillId="0" borderId="18" xfId="7" applyFont="1" applyFill="1" applyBorder="1" applyAlignment="1">
      <alignment horizontal="center" vertical="center" wrapText="1"/>
    </xf>
    <xf numFmtId="0" fontId="11" fillId="0" borderId="17" xfId="7" applyFont="1" applyFill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0" xfId="7" applyFont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6" fontId="6" fillId="0" borderId="4" xfId="6" applyNumberFormat="1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  <cellStyle name="標準 2 2" xfId="7" xr:uid="{00000000-0005-0000-0000-000006000000}"/>
    <cellStyle name="標準 2 3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3</xdr:row>
      <xdr:rowOff>33617</xdr:rowOff>
    </xdr:from>
    <xdr:to>
      <xdr:col>4</xdr:col>
      <xdr:colOff>526676</xdr:colOff>
      <xdr:row>7</xdr:row>
      <xdr:rowOff>212908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41" y="414617"/>
          <a:ext cx="4347882" cy="1165409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使用水量が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㎥の時は、水道料金はかかりません。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円です。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（基本料金もかかりません）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235323</xdr:colOff>
      <xdr:row>3</xdr:row>
      <xdr:rowOff>56030</xdr:rowOff>
    </xdr:from>
    <xdr:to>
      <xdr:col>4</xdr:col>
      <xdr:colOff>683558</xdr:colOff>
      <xdr:row>7</xdr:row>
      <xdr:rowOff>235321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5323" y="795618"/>
          <a:ext cx="4347882" cy="1165409"/>
        </a:xfrm>
        <a:prstGeom prst="downArrowCallout">
          <a:avLst>
            <a:gd name="adj1" fmla="val 14843"/>
            <a:gd name="adj2" fmla="val 26062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使用水量が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㎥の時は、水道料金はかかりません。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円です。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（基本料金もかかりません）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3</xdr:row>
      <xdr:rowOff>22412</xdr:rowOff>
    </xdr:from>
    <xdr:to>
      <xdr:col>5</xdr:col>
      <xdr:colOff>638736</xdr:colOff>
      <xdr:row>7</xdr:row>
      <xdr:rowOff>201703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442" y="403412"/>
          <a:ext cx="4347882" cy="1165409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使用水量（２か月分）と入居戸数を入力してください。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使用水量が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㎥の時は、水道料金はかかりません。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円です。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（基本料金もかかりません）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3</xdr:row>
      <xdr:rowOff>22411</xdr:rowOff>
    </xdr:from>
    <xdr:to>
      <xdr:col>4</xdr:col>
      <xdr:colOff>493059</xdr:colOff>
      <xdr:row>7</xdr:row>
      <xdr:rowOff>201702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824" y="403411"/>
          <a:ext cx="4347882" cy="1165409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使用水量が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㎥の時は、水道料金はかかりません。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円です。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（基本料金もかかりません）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Q38"/>
  <sheetViews>
    <sheetView showZeros="0" tabSelected="1" topLeftCell="A4" zoomScale="85" zoomScaleNormal="85" workbookViewId="0">
      <selection activeCell="H3" sqref="H3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14" style="2" customWidth="1"/>
    <col min="5" max="5" width="14.58203125" style="2" customWidth="1"/>
    <col min="6" max="6" width="14.5" style="2" bestFit="1" customWidth="1"/>
    <col min="7" max="7" width="13.33203125" style="2" customWidth="1"/>
    <col min="8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98" t="s">
        <v>51</v>
      </c>
      <c r="B1" s="98"/>
      <c r="C1" s="98"/>
      <c r="D1" s="98"/>
      <c r="E1" s="98"/>
      <c r="F1" s="98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9" customFormat="1" ht="46.5" customHeight="1" x14ac:dyDescent="0.2">
      <c r="A2" s="110" t="s">
        <v>64</v>
      </c>
      <c r="B2" s="111"/>
      <c r="C2" s="111"/>
      <c r="D2" s="111"/>
      <c r="E2" s="111"/>
      <c r="F2" s="111"/>
      <c r="G2" s="111"/>
    </row>
    <row r="3" spans="1:17" s="77" customFormat="1" ht="28.5" customHeight="1" x14ac:dyDescent="0.2">
      <c r="B3" s="79" t="s">
        <v>63</v>
      </c>
    </row>
    <row r="4" spans="1:17" ht="20.149999999999999" customHeight="1" x14ac:dyDescent="0.2">
      <c r="F4" s="53" t="s">
        <v>53</v>
      </c>
      <c r="N4" s="26"/>
      <c r="O4" s="26"/>
      <c r="P4" s="26"/>
      <c r="Q4" s="26"/>
    </row>
    <row r="5" spans="1:17" ht="20.149999999999999" customHeight="1" x14ac:dyDescent="0.2">
      <c r="F5" s="53" t="s">
        <v>24</v>
      </c>
      <c r="O5" s="24"/>
    </row>
    <row r="6" spans="1:17" ht="20.149999999999999" customHeight="1" x14ac:dyDescent="0.2">
      <c r="B6" s="14"/>
      <c r="F6" s="53"/>
    </row>
    <row r="7" spans="1:17" ht="20.149999999999999" customHeight="1" x14ac:dyDescent="0.2"/>
    <row r="8" spans="1:17" ht="20.149999999999999" customHeight="1" x14ac:dyDescent="0.2"/>
    <row r="9" spans="1:17" ht="20.149999999999999" customHeight="1" x14ac:dyDescent="0.2">
      <c r="B9" s="4" t="s">
        <v>16</v>
      </c>
      <c r="C9" s="35">
        <v>13</v>
      </c>
      <c r="D9" s="3" t="s">
        <v>19</v>
      </c>
      <c r="E9" s="10"/>
    </row>
    <row r="10" spans="1:17" ht="20.149999999999999" customHeight="1" x14ac:dyDescent="0.2">
      <c r="B10" s="4" t="s">
        <v>17</v>
      </c>
      <c r="C10" s="36">
        <v>1</v>
      </c>
      <c r="D10" s="3" t="s">
        <v>18</v>
      </c>
      <c r="E10" s="10"/>
      <c r="F10" s="2" t="s">
        <v>52</v>
      </c>
    </row>
    <row r="11" spans="1:17" ht="10" customHeight="1" x14ac:dyDescent="0.2"/>
    <row r="12" spans="1:17" s="77" customFormat="1" ht="19.5" customHeight="1" x14ac:dyDescent="0.2">
      <c r="B12" s="78"/>
      <c r="C12" s="78"/>
      <c r="D12" s="78"/>
      <c r="E12" s="63" t="s">
        <v>62</v>
      </c>
      <c r="F12" s="63" t="s">
        <v>59</v>
      </c>
      <c r="G12" s="63" t="s">
        <v>60</v>
      </c>
    </row>
    <row r="13" spans="1:17" ht="20.149999999999999" customHeight="1" x14ac:dyDescent="0.2">
      <c r="B13" s="101" t="s">
        <v>14</v>
      </c>
      <c r="C13" s="102"/>
      <c r="D13" s="103"/>
      <c r="E13" s="27">
        <f>IF(C10&gt;1,VLOOKUP(C9,B28:C29,2)*2,0)</f>
        <v>0</v>
      </c>
      <c r="F13" s="64" t="s">
        <v>61</v>
      </c>
      <c r="G13" s="65">
        <f>+E13-0</f>
        <v>0</v>
      </c>
    </row>
    <row r="14" spans="1:17" ht="20.149999999999999" customHeight="1" x14ac:dyDescent="0.2">
      <c r="B14" s="104" t="s">
        <v>23</v>
      </c>
      <c r="C14" s="8" t="s">
        <v>2</v>
      </c>
      <c r="D14" s="19" t="s">
        <v>30</v>
      </c>
      <c r="E14" s="28">
        <f>IF(C10&lt;21,C10*D33,20*D33)</f>
        <v>76</v>
      </c>
      <c r="F14" s="66">
        <f>+E14</f>
        <v>76</v>
      </c>
      <c r="G14" s="67">
        <f>+E14-F14</f>
        <v>0</v>
      </c>
    </row>
    <row r="15" spans="1:17" ht="20.149999999999999" customHeight="1" x14ac:dyDescent="0.2">
      <c r="B15" s="105"/>
      <c r="C15" s="9" t="s">
        <v>3</v>
      </c>
      <c r="D15" s="20" t="s">
        <v>29</v>
      </c>
      <c r="E15" s="29">
        <f>IF(C10&lt;21,0,IF(C10&lt;41,(C10-20)*D34,20*D34))</f>
        <v>0</v>
      </c>
      <c r="F15" s="66">
        <f t="shared" ref="F15:F19" si="0">+E15</f>
        <v>0</v>
      </c>
      <c r="G15" s="68"/>
    </row>
    <row r="16" spans="1:17" ht="20.149999999999999" customHeight="1" x14ac:dyDescent="0.2">
      <c r="B16" s="105"/>
      <c r="C16" s="9" t="s">
        <v>4</v>
      </c>
      <c r="D16" s="21" t="s">
        <v>28</v>
      </c>
      <c r="E16" s="29">
        <f>IF(C10&lt;41,0,IF(C10&lt;61,(C10-40)*D35,20*D35))</f>
        <v>0</v>
      </c>
      <c r="F16" s="66">
        <f t="shared" si="0"/>
        <v>0</v>
      </c>
      <c r="G16" s="68"/>
    </row>
    <row r="17" spans="2:9" ht="20.149999999999999" customHeight="1" x14ac:dyDescent="0.2">
      <c r="B17" s="105"/>
      <c r="C17" s="9" t="s">
        <v>5</v>
      </c>
      <c r="D17" s="12" t="s">
        <v>26</v>
      </c>
      <c r="E17" s="29">
        <f>IF(C10&lt;61,0,IF(C10&lt;81,(C10-60)*D36,20*D36))</f>
        <v>0</v>
      </c>
      <c r="F17" s="66">
        <f t="shared" si="0"/>
        <v>0</v>
      </c>
      <c r="G17" s="68"/>
    </row>
    <row r="18" spans="2:9" ht="20.149999999999999" customHeight="1" x14ac:dyDescent="0.2">
      <c r="B18" s="105"/>
      <c r="C18" s="9" t="s">
        <v>6</v>
      </c>
      <c r="D18" s="12" t="s">
        <v>27</v>
      </c>
      <c r="E18" s="29">
        <f>IF(C10&lt;81,0,IF(C10&lt;101,(C10-80)*D37,20*D37))</f>
        <v>0</v>
      </c>
      <c r="F18" s="66">
        <f t="shared" si="0"/>
        <v>0</v>
      </c>
      <c r="G18" s="68"/>
    </row>
    <row r="19" spans="2:9" ht="20.149999999999999" customHeight="1" x14ac:dyDescent="0.2">
      <c r="B19" s="105"/>
      <c r="C19" s="6" t="s">
        <v>8</v>
      </c>
      <c r="D19" s="13" t="s">
        <v>25</v>
      </c>
      <c r="E19" s="30">
        <f>IF(C10&lt;101,0,(C10-100)*D38)</f>
        <v>0</v>
      </c>
      <c r="F19" s="66">
        <f t="shared" si="0"/>
        <v>0</v>
      </c>
      <c r="G19" s="69"/>
    </row>
    <row r="20" spans="2:9" ht="20.149999999999999" customHeight="1" x14ac:dyDescent="0.2">
      <c r="B20" s="55"/>
      <c r="C20" s="56"/>
      <c r="D20" s="57" t="s">
        <v>54</v>
      </c>
      <c r="E20" s="31">
        <f>SUM(E14:E19)</f>
        <v>76</v>
      </c>
      <c r="F20" s="70">
        <f>SUM(F14:F19)</f>
        <v>76</v>
      </c>
      <c r="G20" s="71"/>
    </row>
    <row r="21" spans="2:9" ht="20.149999999999999" customHeight="1" x14ac:dyDescent="0.2">
      <c r="B21" s="106" t="s">
        <v>12</v>
      </c>
      <c r="C21" s="107"/>
      <c r="D21" s="58" t="s">
        <v>55</v>
      </c>
      <c r="E21" s="32">
        <f>SUM(E13+E20)</f>
        <v>76</v>
      </c>
      <c r="F21" s="72">
        <f>SUM(F20)</f>
        <v>76</v>
      </c>
      <c r="G21" s="65">
        <f>+E21-F21</f>
        <v>0</v>
      </c>
    </row>
    <row r="22" spans="2:9" ht="20.149999999999999" customHeight="1" thickBot="1" x14ac:dyDescent="0.25">
      <c r="B22" s="59" t="s">
        <v>15</v>
      </c>
      <c r="C22" s="60">
        <v>0.1</v>
      </c>
      <c r="D22" s="61" t="s">
        <v>56</v>
      </c>
      <c r="E22" s="33">
        <f>ROUNDDOWN(E21*C22,0)</f>
        <v>7</v>
      </c>
      <c r="F22" s="73">
        <f>+F23-F21</f>
        <v>4</v>
      </c>
      <c r="G22" s="74">
        <f>+G23-G21</f>
        <v>0</v>
      </c>
    </row>
    <row r="23" spans="2:9" ht="37.5" customHeight="1" thickTop="1" thickBot="1" x14ac:dyDescent="0.25">
      <c r="B23" s="108" t="s">
        <v>57</v>
      </c>
      <c r="C23" s="109"/>
      <c r="D23" s="62" t="s">
        <v>58</v>
      </c>
      <c r="E23" s="80">
        <f>ROUNDDOWN(E21+E22,-1)</f>
        <v>80</v>
      </c>
      <c r="F23" s="75">
        <f>ROUNDDOWN(F21*1.1,-1)</f>
        <v>80</v>
      </c>
      <c r="G23" s="76">
        <f>+E23-F23</f>
        <v>0</v>
      </c>
      <c r="H23" s="11"/>
      <c r="I23" s="11"/>
    </row>
    <row r="24" spans="2:9" ht="20.149999999999999" customHeight="1" x14ac:dyDescent="0.2"/>
    <row r="25" spans="2:9" ht="20.149999999999999" customHeight="1" x14ac:dyDescent="0.2"/>
    <row r="26" spans="2:9" ht="20.149999999999999" customHeight="1" x14ac:dyDescent="0.2">
      <c r="B26" s="99" t="s">
        <v>20</v>
      </c>
      <c r="C26" s="100"/>
    </row>
    <row r="27" spans="2:9" ht="20.149999999999999" customHeight="1" x14ac:dyDescent="0.2">
      <c r="B27" s="5" t="s">
        <v>0</v>
      </c>
      <c r="C27" s="5" t="s">
        <v>1</v>
      </c>
    </row>
    <row r="28" spans="2:9" ht="20.149999999999999" customHeight="1" x14ac:dyDescent="0.2">
      <c r="B28" s="5">
        <v>13</v>
      </c>
      <c r="C28" s="15">
        <v>600</v>
      </c>
    </row>
    <row r="29" spans="2:9" ht="20.149999999999999" customHeight="1" x14ac:dyDescent="0.2">
      <c r="B29" s="5">
        <v>20</v>
      </c>
      <c r="C29" s="15">
        <v>800</v>
      </c>
    </row>
    <row r="30" spans="2:9" ht="20.149999999999999" customHeight="1" x14ac:dyDescent="0.2"/>
    <row r="31" spans="2:9" ht="20.149999999999999" customHeight="1" x14ac:dyDescent="0.2">
      <c r="B31" s="101" t="s">
        <v>38</v>
      </c>
      <c r="C31" s="103"/>
      <c r="D31" s="7" t="s">
        <v>7</v>
      </c>
    </row>
    <row r="32" spans="2:9" ht="20.149999999999999" customHeight="1" x14ac:dyDescent="0.2">
      <c r="B32" s="4" t="s">
        <v>9</v>
      </c>
      <c r="C32" s="4" t="s">
        <v>10</v>
      </c>
      <c r="D32" s="7" t="s">
        <v>32</v>
      </c>
    </row>
    <row r="33" spans="2:4" ht="20.149999999999999" customHeight="1" x14ac:dyDescent="0.2">
      <c r="B33" s="18" t="s">
        <v>2</v>
      </c>
      <c r="C33" s="46" t="s">
        <v>39</v>
      </c>
      <c r="D33" s="16">
        <v>76</v>
      </c>
    </row>
    <row r="34" spans="2:4" ht="20.149999999999999" customHeight="1" x14ac:dyDescent="0.2">
      <c r="B34" s="18" t="s">
        <v>3</v>
      </c>
      <c r="C34" s="46" t="s">
        <v>40</v>
      </c>
      <c r="D34" s="16">
        <v>128</v>
      </c>
    </row>
    <row r="35" spans="2:4" ht="20.149999999999999" customHeight="1" x14ac:dyDescent="0.2">
      <c r="B35" s="18" t="s">
        <v>4</v>
      </c>
      <c r="C35" s="46" t="s">
        <v>41</v>
      </c>
      <c r="D35" s="16">
        <v>166</v>
      </c>
    </row>
    <row r="36" spans="2:4" ht="20.149999999999999" customHeight="1" x14ac:dyDescent="0.2">
      <c r="B36" s="18" t="s">
        <v>5</v>
      </c>
      <c r="C36" s="47" t="s">
        <v>42</v>
      </c>
      <c r="D36" s="16">
        <v>224</v>
      </c>
    </row>
    <row r="37" spans="2:4" ht="20.149999999999999" customHeight="1" x14ac:dyDescent="0.2">
      <c r="B37" s="18" t="s">
        <v>6</v>
      </c>
      <c r="C37" s="47" t="s">
        <v>43</v>
      </c>
      <c r="D37" s="16">
        <v>241</v>
      </c>
    </row>
    <row r="38" spans="2:4" ht="20.149999999999999" customHeight="1" x14ac:dyDescent="0.2">
      <c r="B38" s="18" t="s">
        <v>8</v>
      </c>
      <c r="C38" s="47" t="s">
        <v>44</v>
      </c>
      <c r="D38" s="16">
        <v>295</v>
      </c>
    </row>
  </sheetData>
  <mergeCells count="8">
    <mergeCell ref="A1:F1"/>
    <mergeCell ref="B26:C26"/>
    <mergeCell ref="B13:D13"/>
    <mergeCell ref="B14:B19"/>
    <mergeCell ref="B31:C31"/>
    <mergeCell ref="B21:C21"/>
    <mergeCell ref="B23:C23"/>
    <mergeCell ref="A2:G2"/>
  </mergeCells>
  <phoneticPr fontId="2"/>
  <dataValidations count="2">
    <dataValidation type="list" allowBlank="1" showInputMessage="1" showErrorMessage="1" sqref="C9" xr:uid="{00000000-0002-0000-0000-000000000000}">
      <formula1>$B$28:$B$29</formula1>
    </dataValidation>
    <dataValidation type="whole" operator="greaterThanOrEqual" allowBlank="1" showInputMessage="1" showErrorMessage="1" sqref="C10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Q45"/>
  <sheetViews>
    <sheetView showZeros="0" zoomScale="85" zoomScaleNormal="85" workbookViewId="0">
      <selection activeCell="I18" sqref="I18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14" style="2" customWidth="1"/>
    <col min="5" max="5" width="14" style="2" bestFit="1" customWidth="1"/>
    <col min="6" max="6" width="13.25" style="2" bestFit="1" customWidth="1"/>
    <col min="7" max="7" width="12.83203125" style="2" customWidth="1"/>
    <col min="8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98" t="s">
        <v>50</v>
      </c>
      <c r="B1" s="98"/>
      <c r="C1" s="98"/>
      <c r="D1" s="98"/>
      <c r="E1" s="98"/>
      <c r="F1" s="98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9" customFormat="1" ht="46.5" customHeight="1" x14ac:dyDescent="0.2">
      <c r="A2" s="110" t="s">
        <v>64</v>
      </c>
      <c r="B2" s="111"/>
      <c r="C2" s="111"/>
      <c r="D2" s="111"/>
      <c r="E2" s="111"/>
      <c r="F2" s="111"/>
      <c r="G2" s="111"/>
    </row>
    <row r="3" spans="1:17" s="77" customFormat="1" ht="28.5" customHeight="1" x14ac:dyDescent="0.2">
      <c r="B3" s="79" t="s">
        <v>63</v>
      </c>
    </row>
    <row r="4" spans="1:17" ht="20.149999999999999" customHeight="1" x14ac:dyDescent="0.2">
      <c r="F4" s="53" t="s">
        <v>53</v>
      </c>
      <c r="N4" s="26"/>
      <c r="O4" s="26"/>
      <c r="P4" s="26"/>
      <c r="Q4" s="26"/>
    </row>
    <row r="5" spans="1:17" ht="20.149999999999999" customHeight="1" x14ac:dyDescent="0.2">
      <c r="F5" s="53" t="s">
        <v>24</v>
      </c>
      <c r="O5" s="24"/>
    </row>
    <row r="6" spans="1:17" ht="20.149999999999999" customHeight="1" x14ac:dyDescent="0.2">
      <c r="B6" s="14"/>
    </row>
    <row r="7" spans="1:17" ht="20.149999999999999" customHeight="1" x14ac:dyDescent="0.2">
      <c r="B7" s="14"/>
    </row>
    <row r="8" spans="1:17" ht="20.149999999999999" customHeight="1" x14ac:dyDescent="0.2"/>
    <row r="9" spans="1:17" ht="20.149999999999999" customHeight="1" x14ac:dyDescent="0.2">
      <c r="B9" s="4" t="s">
        <v>16</v>
      </c>
      <c r="C9" s="35">
        <v>25</v>
      </c>
      <c r="D9" s="3" t="s">
        <v>19</v>
      </c>
      <c r="E9" s="10"/>
      <c r="F9" s="11"/>
    </row>
    <row r="10" spans="1:17" ht="20.149999999999999" customHeight="1" x14ac:dyDescent="0.2">
      <c r="B10" s="4" t="s">
        <v>17</v>
      </c>
      <c r="C10" s="36">
        <v>1</v>
      </c>
      <c r="D10" s="3" t="s">
        <v>18</v>
      </c>
      <c r="E10" s="10"/>
      <c r="F10" s="11"/>
    </row>
    <row r="11" spans="1:17" ht="10" customHeight="1" x14ac:dyDescent="0.2">
      <c r="F11" s="11"/>
    </row>
    <row r="12" spans="1:17" s="77" customFormat="1" ht="19.5" customHeight="1" x14ac:dyDescent="0.2">
      <c r="B12" s="78"/>
      <c r="C12" s="78"/>
      <c r="D12" s="78"/>
      <c r="E12" s="63" t="s">
        <v>62</v>
      </c>
      <c r="F12" s="63" t="s">
        <v>59</v>
      </c>
      <c r="G12" s="63" t="s">
        <v>60</v>
      </c>
    </row>
    <row r="13" spans="1:17" ht="20.149999999999999" customHeight="1" x14ac:dyDescent="0.2">
      <c r="B13" s="101" t="s">
        <v>14</v>
      </c>
      <c r="C13" s="102"/>
      <c r="D13" s="103"/>
      <c r="E13" s="27">
        <f>IF(C10&gt;0,VLOOKUP(C9,B32:C36,2)*2,0)</f>
        <v>2160</v>
      </c>
      <c r="F13" s="64" t="s">
        <v>61</v>
      </c>
      <c r="G13" s="65">
        <f>+E13-0</f>
        <v>2160</v>
      </c>
    </row>
    <row r="14" spans="1:17" ht="20.149999999999999" customHeight="1" x14ac:dyDescent="0.2">
      <c r="A14" s="39"/>
      <c r="B14" s="112" t="s">
        <v>13</v>
      </c>
      <c r="C14" s="8" t="s">
        <v>2</v>
      </c>
      <c r="D14" s="19" t="s">
        <v>30</v>
      </c>
      <c r="E14" s="40">
        <f>IF(C10&lt;21,C10*D40,20*D40)</f>
        <v>76</v>
      </c>
      <c r="F14" s="66">
        <f>+E14</f>
        <v>76</v>
      </c>
      <c r="G14" s="67">
        <f>+E14-F14</f>
        <v>0</v>
      </c>
    </row>
    <row r="15" spans="1:17" ht="20.149999999999999" customHeight="1" x14ac:dyDescent="0.2">
      <c r="A15" s="39"/>
      <c r="B15" s="113"/>
      <c r="C15" s="9" t="s">
        <v>3</v>
      </c>
      <c r="D15" s="20" t="s">
        <v>29</v>
      </c>
      <c r="E15" s="41">
        <f>IF(C10&lt;21,0,IF(C10&lt;41,(C10-20)*D41,20*D41))</f>
        <v>0</v>
      </c>
      <c r="F15" s="66">
        <f t="shared" ref="F15:F19" si="0">+E15</f>
        <v>0</v>
      </c>
      <c r="G15" s="68"/>
    </row>
    <row r="16" spans="1:17" ht="20.149999999999999" customHeight="1" x14ac:dyDescent="0.2">
      <c r="A16" s="39"/>
      <c r="B16" s="113"/>
      <c r="C16" s="9" t="s">
        <v>4</v>
      </c>
      <c r="D16" s="21" t="s">
        <v>28</v>
      </c>
      <c r="E16" s="41">
        <f>IF(C10&lt;41,0,IF(C10&lt;61,(C10-40)*D42,20*D42))</f>
        <v>0</v>
      </c>
      <c r="F16" s="66">
        <f t="shared" si="0"/>
        <v>0</v>
      </c>
      <c r="G16" s="68"/>
    </row>
    <row r="17" spans="1:9" ht="20.149999999999999" customHeight="1" x14ac:dyDescent="0.2">
      <c r="A17" s="39"/>
      <c r="B17" s="113"/>
      <c r="C17" s="9" t="s">
        <v>5</v>
      </c>
      <c r="D17" s="12" t="s">
        <v>26</v>
      </c>
      <c r="E17" s="41">
        <f>IF(C10&lt;61,0,IF(C10&lt;81,(C10-60)*D43,20*D43))</f>
        <v>0</v>
      </c>
      <c r="F17" s="66">
        <f t="shared" si="0"/>
        <v>0</v>
      </c>
      <c r="G17" s="68"/>
    </row>
    <row r="18" spans="1:9" ht="20.149999999999999" customHeight="1" x14ac:dyDescent="0.2">
      <c r="A18" s="39"/>
      <c r="B18" s="113"/>
      <c r="C18" s="9" t="s">
        <v>6</v>
      </c>
      <c r="D18" s="12" t="s">
        <v>27</v>
      </c>
      <c r="E18" s="41">
        <f>IF(C10&lt;81,0,IF(C10&lt;101,(C10-80)*D44,20*D44))</f>
        <v>0</v>
      </c>
      <c r="F18" s="66">
        <f t="shared" si="0"/>
        <v>0</v>
      </c>
      <c r="G18" s="68"/>
    </row>
    <row r="19" spans="1:9" ht="20.149999999999999" customHeight="1" x14ac:dyDescent="0.2">
      <c r="A19" s="39"/>
      <c r="B19" s="113"/>
      <c r="C19" s="6" t="s">
        <v>8</v>
      </c>
      <c r="D19" s="13" t="s">
        <v>25</v>
      </c>
      <c r="E19" s="42">
        <f>IF(C10&lt;101,0,(C10-100)*D45)</f>
        <v>0</v>
      </c>
      <c r="F19" s="66">
        <f t="shared" si="0"/>
        <v>0</v>
      </c>
      <c r="G19" s="69"/>
    </row>
    <row r="20" spans="1:9" ht="20.149999999999999" customHeight="1" x14ac:dyDescent="0.2">
      <c r="A20" s="39"/>
      <c r="B20" s="55"/>
      <c r="C20" s="56"/>
      <c r="D20" s="57" t="s">
        <v>54</v>
      </c>
      <c r="E20" s="43">
        <f>SUM(E14:E19)</f>
        <v>76</v>
      </c>
      <c r="F20" s="70">
        <f>SUM(F14:F19)</f>
        <v>76</v>
      </c>
      <c r="G20" s="71"/>
    </row>
    <row r="21" spans="1:9" ht="20.149999999999999" customHeight="1" x14ac:dyDescent="0.2">
      <c r="A21" s="39"/>
      <c r="B21" s="106" t="s">
        <v>12</v>
      </c>
      <c r="C21" s="107"/>
      <c r="D21" s="58" t="s">
        <v>55</v>
      </c>
      <c r="E21" s="37">
        <f>SUM(E13+E20)</f>
        <v>2236</v>
      </c>
      <c r="F21" s="72">
        <f>SUM(F20)</f>
        <v>76</v>
      </c>
      <c r="G21" s="65">
        <f>+E21-F21</f>
        <v>2160</v>
      </c>
    </row>
    <row r="22" spans="1:9" ht="20.149999999999999" customHeight="1" thickBot="1" x14ac:dyDescent="0.25">
      <c r="A22" s="39"/>
      <c r="B22" s="59" t="s">
        <v>15</v>
      </c>
      <c r="C22" s="60">
        <v>0.1</v>
      </c>
      <c r="D22" s="61" t="s">
        <v>56</v>
      </c>
      <c r="E22" s="38">
        <f>ROUNDDOWN(E21*C22,0)</f>
        <v>223</v>
      </c>
      <c r="F22" s="73">
        <f>+F23-F21</f>
        <v>4</v>
      </c>
      <c r="G22" s="74">
        <f>+G23-G21</f>
        <v>210</v>
      </c>
    </row>
    <row r="23" spans="1:9" ht="37.5" customHeight="1" thickTop="1" thickBot="1" x14ac:dyDescent="0.25">
      <c r="A23" s="39"/>
      <c r="B23" s="108" t="s">
        <v>57</v>
      </c>
      <c r="C23" s="109"/>
      <c r="D23" s="62" t="s">
        <v>58</v>
      </c>
      <c r="E23" s="80">
        <f>ROUNDDOWN(E21+E22,-1)</f>
        <v>2450</v>
      </c>
      <c r="F23" s="75">
        <f>ROUNDDOWN(F21*1.1,-1)</f>
        <v>80</v>
      </c>
      <c r="G23" s="76">
        <f>+E23-F23</f>
        <v>2370</v>
      </c>
      <c r="H23" s="11"/>
      <c r="I23" s="11"/>
    </row>
    <row r="24" spans="1:9" ht="20.149999999999999" customHeight="1" x14ac:dyDescent="0.2">
      <c r="A24" s="39"/>
      <c r="B24" s="39"/>
      <c r="C24" s="39"/>
      <c r="D24" s="39"/>
      <c r="E24" s="39"/>
      <c r="F24" s="39"/>
      <c r="G24" s="39"/>
    </row>
    <row r="25" spans="1:9" ht="20.149999999999999" customHeight="1" x14ac:dyDescent="0.2">
      <c r="A25" s="39"/>
      <c r="B25" s="39"/>
      <c r="C25" s="39"/>
      <c r="D25" s="39"/>
      <c r="E25" s="39"/>
      <c r="F25" s="39"/>
      <c r="G25" s="39"/>
    </row>
    <row r="26" spans="1:9" ht="20.149999999999999" customHeight="1" x14ac:dyDescent="0.2"/>
    <row r="27" spans="1:9" ht="20.149999999999999" customHeight="1" x14ac:dyDescent="0.2"/>
    <row r="28" spans="1:9" ht="20.149999999999999" customHeight="1" x14ac:dyDescent="0.2"/>
    <row r="29" spans="1:9" ht="20.149999999999999" customHeight="1" x14ac:dyDescent="0.2"/>
    <row r="30" spans="1:9" ht="20.149999999999999" customHeight="1" x14ac:dyDescent="0.2">
      <c r="B30" s="99" t="s">
        <v>20</v>
      </c>
      <c r="C30" s="100"/>
    </row>
    <row r="31" spans="1:9" ht="20.149999999999999" customHeight="1" x14ac:dyDescent="0.2">
      <c r="B31" s="5" t="s">
        <v>0</v>
      </c>
      <c r="C31" s="5" t="s">
        <v>1</v>
      </c>
    </row>
    <row r="32" spans="1:9" ht="20.149999999999999" customHeight="1" x14ac:dyDescent="0.2">
      <c r="B32" s="5">
        <v>25</v>
      </c>
      <c r="C32" s="15">
        <v>1080</v>
      </c>
      <c r="F32" s="17"/>
    </row>
    <row r="33" spans="2:6" ht="20.149999999999999" customHeight="1" x14ac:dyDescent="0.2">
      <c r="B33" s="5">
        <v>30</v>
      </c>
      <c r="C33" s="15">
        <v>1430</v>
      </c>
      <c r="F33" s="17"/>
    </row>
    <row r="34" spans="2:6" ht="20.149999999999999" customHeight="1" x14ac:dyDescent="0.2">
      <c r="B34" s="5">
        <v>40</v>
      </c>
      <c r="C34" s="15">
        <v>1980</v>
      </c>
      <c r="F34" s="17"/>
    </row>
    <row r="35" spans="2:6" ht="20.149999999999999" customHeight="1" x14ac:dyDescent="0.2">
      <c r="B35" s="5">
        <v>50</v>
      </c>
      <c r="C35" s="15">
        <v>3780</v>
      </c>
      <c r="F35" s="17"/>
    </row>
    <row r="36" spans="2:6" ht="20.149999999999999" customHeight="1" x14ac:dyDescent="0.2">
      <c r="B36" s="5">
        <v>75</v>
      </c>
      <c r="C36" s="15">
        <v>5570</v>
      </c>
      <c r="F36" s="17"/>
    </row>
    <row r="37" spans="2:6" ht="20.149999999999999" customHeight="1" x14ac:dyDescent="0.2"/>
    <row r="38" spans="2:6" ht="20.149999999999999" customHeight="1" x14ac:dyDescent="0.2">
      <c r="B38" s="101" t="s">
        <v>38</v>
      </c>
      <c r="C38" s="103"/>
      <c r="D38" s="7" t="s">
        <v>21</v>
      </c>
    </row>
    <row r="39" spans="2:6" ht="20.149999999999999" customHeight="1" x14ac:dyDescent="0.2">
      <c r="B39" s="4" t="s">
        <v>9</v>
      </c>
      <c r="C39" s="4" t="s">
        <v>10</v>
      </c>
      <c r="D39" s="7" t="s">
        <v>11</v>
      </c>
    </row>
    <row r="40" spans="2:6" ht="20.149999999999999" customHeight="1" x14ac:dyDescent="0.2">
      <c r="B40" s="18" t="s">
        <v>2</v>
      </c>
      <c r="C40" s="46" t="s">
        <v>39</v>
      </c>
      <c r="D40" s="16">
        <v>76</v>
      </c>
    </row>
    <row r="41" spans="2:6" ht="20.149999999999999" customHeight="1" x14ac:dyDescent="0.2">
      <c r="B41" s="18" t="s">
        <v>3</v>
      </c>
      <c r="C41" s="46" t="s">
        <v>40</v>
      </c>
      <c r="D41" s="16">
        <v>128</v>
      </c>
    </row>
    <row r="42" spans="2:6" ht="20.149999999999999" customHeight="1" x14ac:dyDescent="0.2">
      <c r="B42" s="18" t="s">
        <v>4</v>
      </c>
      <c r="C42" s="46" t="s">
        <v>41</v>
      </c>
      <c r="D42" s="16">
        <v>166</v>
      </c>
    </row>
    <row r="43" spans="2:6" ht="20.149999999999999" customHeight="1" x14ac:dyDescent="0.2">
      <c r="B43" s="18" t="s">
        <v>5</v>
      </c>
      <c r="C43" s="47" t="s">
        <v>42</v>
      </c>
      <c r="D43" s="16">
        <v>224</v>
      </c>
    </row>
    <row r="44" spans="2:6" ht="20.149999999999999" customHeight="1" x14ac:dyDescent="0.2">
      <c r="B44" s="18" t="s">
        <v>6</v>
      </c>
      <c r="C44" s="47" t="s">
        <v>43</v>
      </c>
      <c r="D44" s="16">
        <v>241</v>
      </c>
    </row>
    <row r="45" spans="2:6" ht="20.149999999999999" customHeight="1" x14ac:dyDescent="0.2">
      <c r="B45" s="18" t="s">
        <v>8</v>
      </c>
      <c r="C45" s="47" t="s">
        <v>44</v>
      </c>
      <c r="D45" s="16">
        <v>295</v>
      </c>
    </row>
  </sheetData>
  <mergeCells count="8">
    <mergeCell ref="A1:F1"/>
    <mergeCell ref="B38:C38"/>
    <mergeCell ref="B13:D13"/>
    <mergeCell ref="B14:B19"/>
    <mergeCell ref="B21:C21"/>
    <mergeCell ref="B30:C30"/>
    <mergeCell ref="B23:C23"/>
    <mergeCell ref="A2:G2"/>
  </mergeCells>
  <phoneticPr fontId="2"/>
  <dataValidations count="2">
    <dataValidation type="list" allowBlank="1" showInputMessage="1" showErrorMessage="1" sqref="C9" xr:uid="{00000000-0002-0000-0100-000000000000}">
      <formula1>$B$32:$B$36</formula1>
    </dataValidation>
    <dataValidation type="whole" operator="greaterThanOrEqual" allowBlank="1" showInputMessage="1" showErrorMessage="1" sqref="C10" xr:uid="{00000000-0002-0000-01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Q37"/>
  <sheetViews>
    <sheetView showZeros="0" zoomScale="85" zoomScaleNormal="85" workbookViewId="0">
      <selection activeCell="L16" sqref="L16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8.58203125" style="2" customWidth="1"/>
    <col min="5" max="5" width="3.75" style="2" bestFit="1" customWidth="1"/>
    <col min="6" max="6" width="8.58203125" style="2" customWidth="1"/>
    <col min="7" max="7" width="15.58203125" style="2" customWidth="1"/>
    <col min="8" max="8" width="13.25" style="2" bestFit="1" customWidth="1"/>
    <col min="9" max="9" width="12.83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98" t="s">
        <v>48</v>
      </c>
      <c r="B1" s="98"/>
      <c r="C1" s="98"/>
      <c r="D1" s="98"/>
      <c r="E1" s="98"/>
      <c r="F1" s="98"/>
      <c r="G1" s="98"/>
      <c r="H1" s="98"/>
      <c r="I1" s="25"/>
      <c r="J1" s="25"/>
      <c r="K1" s="25"/>
      <c r="L1" s="25"/>
      <c r="M1" s="25"/>
      <c r="N1" s="25"/>
      <c r="O1" s="25"/>
      <c r="P1" s="25"/>
      <c r="Q1" s="25"/>
    </row>
    <row r="2" spans="1:17" s="79" customFormat="1" ht="66" customHeight="1" x14ac:dyDescent="0.2">
      <c r="A2" s="110" t="s">
        <v>65</v>
      </c>
      <c r="B2" s="110"/>
      <c r="C2" s="110"/>
      <c r="D2" s="110"/>
      <c r="E2" s="110"/>
      <c r="F2" s="110"/>
      <c r="G2" s="110"/>
      <c r="H2" s="110"/>
      <c r="I2" s="110"/>
    </row>
    <row r="3" spans="1:17" s="77" customFormat="1" ht="28.5" customHeight="1" x14ac:dyDescent="0.2">
      <c r="B3" s="79" t="s">
        <v>63</v>
      </c>
    </row>
    <row r="4" spans="1:17" ht="20.149999999999999" customHeight="1" x14ac:dyDescent="0.2">
      <c r="F4" s="26"/>
      <c r="G4" s="53"/>
      <c r="H4" s="53" t="s">
        <v>53</v>
      </c>
      <c r="N4" s="26"/>
      <c r="O4" s="26"/>
      <c r="P4" s="26"/>
      <c r="Q4" s="26"/>
    </row>
    <row r="5" spans="1:17" ht="20.149999999999999" customHeight="1" x14ac:dyDescent="0.2">
      <c r="F5" s="24"/>
      <c r="G5" s="53"/>
      <c r="H5" s="53" t="s">
        <v>24</v>
      </c>
      <c r="O5" s="24"/>
    </row>
    <row r="6" spans="1:17" ht="20.149999999999999" customHeight="1" x14ac:dyDescent="0.2">
      <c r="B6" s="14"/>
    </row>
    <row r="7" spans="1:17" ht="20.149999999999999" customHeight="1" x14ac:dyDescent="0.2"/>
    <row r="8" spans="1:17" ht="20.149999999999999" customHeight="1" x14ac:dyDescent="0.2"/>
    <row r="9" spans="1:17" ht="20.149999999999999" customHeight="1" x14ac:dyDescent="0.2">
      <c r="B9" s="4" t="s">
        <v>17</v>
      </c>
      <c r="C9" s="36">
        <v>200</v>
      </c>
      <c r="D9" s="51" t="s">
        <v>18</v>
      </c>
      <c r="E9" s="52"/>
      <c r="F9" s="10"/>
    </row>
    <row r="10" spans="1:17" ht="20.149999999999999" customHeight="1" x14ac:dyDescent="0.2">
      <c r="B10" s="4" t="s">
        <v>45</v>
      </c>
      <c r="C10" s="36">
        <v>1</v>
      </c>
      <c r="D10" s="51" t="s">
        <v>46</v>
      </c>
      <c r="E10" s="52"/>
      <c r="F10" s="10"/>
    </row>
    <row r="11" spans="1:17" ht="10" customHeight="1" x14ac:dyDescent="0.2"/>
    <row r="12" spans="1:17" s="77" customFormat="1" ht="19.5" customHeight="1" x14ac:dyDescent="0.2">
      <c r="B12" s="78"/>
      <c r="C12" s="78"/>
      <c r="D12" s="78"/>
      <c r="G12" s="63" t="s">
        <v>62</v>
      </c>
      <c r="H12" s="63" t="s">
        <v>59</v>
      </c>
      <c r="I12" s="63" t="s">
        <v>60</v>
      </c>
    </row>
    <row r="13" spans="1:17" ht="20.149999999999999" customHeight="1" x14ac:dyDescent="0.2">
      <c r="B13" s="101" t="s">
        <v>14</v>
      </c>
      <c r="C13" s="102"/>
      <c r="D13" s="102"/>
      <c r="E13" s="44"/>
      <c r="F13" s="45"/>
      <c r="G13" s="27">
        <f>IF(C9&gt;0,C28*2*C10,0)</f>
        <v>1200</v>
      </c>
      <c r="H13" s="64" t="s">
        <v>61</v>
      </c>
      <c r="I13" s="65">
        <f>+G13-0</f>
        <v>1200</v>
      </c>
    </row>
    <row r="14" spans="1:17" ht="20.149999999999999" customHeight="1" x14ac:dyDescent="0.2">
      <c r="B14" s="104" t="s">
        <v>23</v>
      </c>
      <c r="C14" s="8" t="s">
        <v>2</v>
      </c>
      <c r="D14" s="81">
        <v>1</v>
      </c>
      <c r="E14" s="82" t="s">
        <v>47</v>
      </c>
      <c r="F14" s="83">
        <f>20*$C$10</f>
        <v>20</v>
      </c>
      <c r="G14" s="28">
        <f>IF(C9&lt;D15,C9*D32,F14*D32)</f>
        <v>1520</v>
      </c>
      <c r="H14" s="84">
        <f>+G14</f>
        <v>1520</v>
      </c>
      <c r="I14" s="85">
        <f>+G14-H14</f>
        <v>0</v>
      </c>
    </row>
    <row r="15" spans="1:17" ht="20.149999999999999" customHeight="1" x14ac:dyDescent="0.2">
      <c r="B15" s="105"/>
      <c r="C15" s="9" t="s">
        <v>3</v>
      </c>
      <c r="D15" s="86">
        <f>F14+1</f>
        <v>21</v>
      </c>
      <c r="E15" s="87" t="s">
        <v>47</v>
      </c>
      <c r="F15" s="88">
        <f>20*2*$C$10</f>
        <v>40</v>
      </c>
      <c r="G15" s="29">
        <f>IF(C9&lt;D15,0,IF(C9&lt;D16,(C9-F14)*D33,F14*D33))</f>
        <v>2560</v>
      </c>
      <c r="H15" s="89">
        <f t="shared" ref="H15:H19" si="0">+G15</f>
        <v>2560</v>
      </c>
      <c r="I15" s="68"/>
    </row>
    <row r="16" spans="1:17" ht="20.149999999999999" customHeight="1" x14ac:dyDescent="0.2">
      <c r="B16" s="105"/>
      <c r="C16" s="9" t="s">
        <v>4</v>
      </c>
      <c r="D16" s="86">
        <f t="shared" ref="D16:D19" si="1">F15+1</f>
        <v>41</v>
      </c>
      <c r="E16" s="87" t="s">
        <v>47</v>
      </c>
      <c r="F16" s="88">
        <f>20*3*$C$10</f>
        <v>60</v>
      </c>
      <c r="G16" s="29">
        <f>IF(C9&lt;D16,0,IF(C9&lt;D17,(C9-F15)*D34,F14*D34))</f>
        <v>3320</v>
      </c>
      <c r="H16" s="89">
        <f t="shared" si="0"/>
        <v>3320</v>
      </c>
      <c r="I16" s="68"/>
    </row>
    <row r="17" spans="2:11" ht="20.149999999999999" customHeight="1" x14ac:dyDescent="0.2">
      <c r="B17" s="105"/>
      <c r="C17" s="9" t="s">
        <v>5</v>
      </c>
      <c r="D17" s="86">
        <f t="shared" si="1"/>
        <v>61</v>
      </c>
      <c r="E17" s="87" t="s">
        <v>47</v>
      </c>
      <c r="F17" s="88">
        <f>20*4*$C$10</f>
        <v>80</v>
      </c>
      <c r="G17" s="29">
        <f>IF(C9&lt;D17,0,IF(C9&lt;D18,(C9-F16)*D35,F14*D35))</f>
        <v>4480</v>
      </c>
      <c r="H17" s="89">
        <f t="shared" si="0"/>
        <v>4480</v>
      </c>
      <c r="I17" s="68"/>
    </row>
    <row r="18" spans="2:11" ht="20.149999999999999" customHeight="1" x14ac:dyDescent="0.2">
      <c r="B18" s="105"/>
      <c r="C18" s="9" t="s">
        <v>6</v>
      </c>
      <c r="D18" s="86">
        <f t="shared" si="1"/>
        <v>81</v>
      </c>
      <c r="E18" s="87" t="s">
        <v>47</v>
      </c>
      <c r="F18" s="88">
        <f>20*5*$C$10</f>
        <v>100</v>
      </c>
      <c r="G18" s="29">
        <f>IF(C9&lt;D18,0,IF(C9&lt;D19,(C9-F17)*D36,F14*D36))</f>
        <v>4820</v>
      </c>
      <c r="H18" s="89">
        <f t="shared" si="0"/>
        <v>4820</v>
      </c>
      <c r="I18" s="68"/>
    </row>
    <row r="19" spans="2:11" ht="20.149999999999999" customHeight="1" x14ac:dyDescent="0.2">
      <c r="B19" s="105"/>
      <c r="C19" s="6" t="s">
        <v>8</v>
      </c>
      <c r="D19" s="90">
        <f t="shared" si="1"/>
        <v>101</v>
      </c>
      <c r="E19" s="91" t="s">
        <v>47</v>
      </c>
      <c r="F19" s="92"/>
      <c r="G19" s="30">
        <f>IF(C9&lt;D19,0,(C9-F18)*D37)</f>
        <v>29500</v>
      </c>
      <c r="H19" s="93">
        <f t="shared" si="0"/>
        <v>29500</v>
      </c>
      <c r="I19" s="69"/>
    </row>
    <row r="20" spans="2:11" ht="20.149999999999999" customHeight="1" x14ac:dyDescent="0.2">
      <c r="B20" s="55"/>
      <c r="C20" s="56"/>
      <c r="D20" s="52"/>
      <c r="E20" s="54"/>
      <c r="F20" s="58" t="s">
        <v>54</v>
      </c>
      <c r="G20" s="27">
        <f>SUM(G14:G19)</f>
        <v>46200</v>
      </c>
      <c r="H20" s="70">
        <f>SUM(H14:H19)</f>
        <v>46200</v>
      </c>
      <c r="I20" s="71"/>
    </row>
    <row r="21" spans="2:11" ht="20.149999999999999" customHeight="1" x14ac:dyDescent="0.2">
      <c r="B21" s="106" t="s">
        <v>12</v>
      </c>
      <c r="C21" s="107"/>
      <c r="D21" s="52"/>
      <c r="E21" s="49"/>
      <c r="F21" s="58" t="s">
        <v>55</v>
      </c>
      <c r="G21" s="32">
        <f>SUM(G13+G20)</f>
        <v>47400</v>
      </c>
      <c r="H21" s="72">
        <f>SUM(H20)</f>
        <v>46200</v>
      </c>
      <c r="I21" s="65">
        <f>+G21-H21</f>
        <v>1200</v>
      </c>
    </row>
    <row r="22" spans="2:11" ht="20.149999999999999" customHeight="1" thickBot="1" x14ac:dyDescent="0.25">
      <c r="B22" s="59" t="s">
        <v>15</v>
      </c>
      <c r="D22" s="60">
        <v>0.1</v>
      </c>
      <c r="E22" s="50"/>
      <c r="F22" s="61" t="s">
        <v>56</v>
      </c>
      <c r="G22" s="33">
        <f>ROUNDDOWN(G21*D22,0)</f>
        <v>4740</v>
      </c>
      <c r="H22" s="73">
        <f>+H23-H21</f>
        <v>4620</v>
      </c>
      <c r="I22" s="74">
        <f>+I23-I21</f>
        <v>120</v>
      </c>
    </row>
    <row r="23" spans="2:11" ht="30" customHeight="1" thickTop="1" thickBot="1" x14ac:dyDescent="0.25">
      <c r="B23" s="108" t="s">
        <v>57</v>
      </c>
      <c r="C23" s="109"/>
      <c r="D23" s="95"/>
      <c r="E23" s="48"/>
      <c r="F23" s="96" t="s">
        <v>58</v>
      </c>
      <c r="G23" s="94">
        <f>ROUNDDOWN(G21+G22,-1)</f>
        <v>52140</v>
      </c>
      <c r="H23" s="75">
        <f>ROUNDDOWN(H21*1.1,-1)</f>
        <v>50820</v>
      </c>
      <c r="I23" s="76">
        <f>+G23-H23</f>
        <v>1320</v>
      </c>
      <c r="J23" s="11"/>
      <c r="K23" s="11"/>
    </row>
    <row r="24" spans="2:11" ht="20.149999999999999" customHeight="1" x14ac:dyDescent="0.2"/>
    <row r="25" spans="2:11" ht="20.149999999999999" customHeight="1" x14ac:dyDescent="0.2"/>
    <row r="26" spans="2:11" ht="20.149999999999999" customHeight="1" x14ac:dyDescent="0.2">
      <c r="B26" s="99" t="s">
        <v>20</v>
      </c>
      <c r="C26" s="100"/>
    </row>
    <row r="27" spans="2:11" ht="20.149999999999999" customHeight="1" x14ac:dyDescent="0.2">
      <c r="B27" s="5" t="s">
        <v>0</v>
      </c>
      <c r="C27" s="5" t="s">
        <v>1</v>
      </c>
    </row>
    <row r="28" spans="2:11" ht="20.149999999999999" customHeight="1" x14ac:dyDescent="0.2">
      <c r="B28" s="5">
        <v>13</v>
      </c>
      <c r="C28" s="15">
        <v>600</v>
      </c>
    </row>
    <row r="29" spans="2:11" ht="20.149999999999999" customHeight="1" x14ac:dyDescent="0.2"/>
    <row r="30" spans="2:11" ht="20.149999999999999" customHeight="1" x14ac:dyDescent="0.2">
      <c r="B30" s="101" t="s">
        <v>38</v>
      </c>
      <c r="C30" s="103"/>
      <c r="D30" s="116"/>
      <c r="E30" s="116"/>
    </row>
    <row r="31" spans="2:11" ht="20.149999999999999" customHeight="1" x14ac:dyDescent="0.2">
      <c r="B31" s="4" t="s">
        <v>9</v>
      </c>
      <c r="C31" s="4" t="s">
        <v>10</v>
      </c>
      <c r="D31" s="116" t="s">
        <v>32</v>
      </c>
      <c r="E31" s="116"/>
    </row>
    <row r="32" spans="2:11" ht="20.149999999999999" customHeight="1" x14ac:dyDescent="0.2">
      <c r="B32" s="18" t="s">
        <v>2</v>
      </c>
      <c r="C32" s="46" t="s">
        <v>39</v>
      </c>
      <c r="D32" s="114">
        <v>76</v>
      </c>
      <c r="E32" s="115"/>
    </row>
    <row r="33" spans="2:5" ht="20.149999999999999" customHeight="1" x14ac:dyDescent="0.2">
      <c r="B33" s="18" t="s">
        <v>3</v>
      </c>
      <c r="C33" s="46" t="s">
        <v>40</v>
      </c>
      <c r="D33" s="114">
        <v>128</v>
      </c>
      <c r="E33" s="115"/>
    </row>
    <row r="34" spans="2:5" ht="20.149999999999999" customHeight="1" x14ac:dyDescent="0.2">
      <c r="B34" s="18" t="s">
        <v>4</v>
      </c>
      <c r="C34" s="46" t="s">
        <v>41</v>
      </c>
      <c r="D34" s="114">
        <v>166</v>
      </c>
      <c r="E34" s="115"/>
    </row>
    <row r="35" spans="2:5" ht="20.149999999999999" customHeight="1" x14ac:dyDescent="0.2">
      <c r="B35" s="18" t="s">
        <v>5</v>
      </c>
      <c r="C35" s="47" t="s">
        <v>42</v>
      </c>
      <c r="D35" s="114">
        <v>224</v>
      </c>
      <c r="E35" s="115"/>
    </row>
    <row r="36" spans="2:5" ht="20.149999999999999" customHeight="1" x14ac:dyDescent="0.2">
      <c r="B36" s="18" t="s">
        <v>6</v>
      </c>
      <c r="C36" s="47" t="s">
        <v>43</v>
      </c>
      <c r="D36" s="114">
        <v>241</v>
      </c>
      <c r="E36" s="115"/>
    </row>
    <row r="37" spans="2:5" ht="20.149999999999999" customHeight="1" x14ac:dyDescent="0.2">
      <c r="B37" s="18" t="s">
        <v>8</v>
      </c>
      <c r="C37" s="47" t="s">
        <v>44</v>
      </c>
      <c r="D37" s="114">
        <v>295</v>
      </c>
      <c r="E37" s="115"/>
    </row>
  </sheetData>
  <mergeCells count="16">
    <mergeCell ref="B30:C30"/>
    <mergeCell ref="A1:H1"/>
    <mergeCell ref="D30:E30"/>
    <mergeCell ref="B13:D13"/>
    <mergeCell ref="B14:B19"/>
    <mergeCell ref="B21:C21"/>
    <mergeCell ref="B26:C26"/>
    <mergeCell ref="B23:C23"/>
    <mergeCell ref="A2:I2"/>
    <mergeCell ref="D37:E37"/>
    <mergeCell ref="D31:E31"/>
    <mergeCell ref="D32:E32"/>
    <mergeCell ref="D33:E33"/>
    <mergeCell ref="D34:E34"/>
    <mergeCell ref="D35:E35"/>
    <mergeCell ref="D36:E36"/>
  </mergeCells>
  <phoneticPr fontId="2"/>
  <dataValidations count="2">
    <dataValidation type="whole" operator="greaterThan" allowBlank="1" showInputMessage="1" showErrorMessage="1" sqref="C10" xr:uid="{00000000-0002-0000-0200-000000000000}">
      <formula1>0</formula1>
    </dataValidation>
    <dataValidation type="whole" operator="greaterThanOrEqual" allowBlank="1" showInputMessage="1" showErrorMessage="1" sqref="C9" xr:uid="{00000000-0002-0000-02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Q43"/>
  <sheetViews>
    <sheetView showZeros="0" zoomScale="85" zoomScaleNormal="85" workbookViewId="0">
      <selection activeCell="I5" sqref="I5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4.25" style="2" customWidth="1"/>
    <col min="4" max="4" width="15.25" style="2" customWidth="1"/>
    <col min="5" max="5" width="14" style="2" customWidth="1"/>
    <col min="6" max="6" width="19.5" style="2" customWidth="1"/>
    <col min="7" max="7" width="15.58203125" style="2" customWidth="1"/>
    <col min="8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98" t="s">
        <v>49</v>
      </c>
      <c r="B1" s="98"/>
      <c r="C1" s="98"/>
      <c r="D1" s="98"/>
      <c r="E1" s="98"/>
      <c r="F1" s="98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79" customFormat="1" ht="52.5" customHeight="1" x14ac:dyDescent="0.2">
      <c r="A2" s="110" t="s">
        <v>65</v>
      </c>
      <c r="B2" s="110"/>
      <c r="C2" s="110"/>
      <c r="D2" s="110"/>
      <c r="E2" s="110"/>
      <c r="F2" s="110"/>
      <c r="G2" s="110"/>
      <c r="H2" s="97"/>
      <c r="I2" s="97"/>
    </row>
    <row r="3" spans="1:17" s="77" customFormat="1" ht="28.5" customHeight="1" x14ac:dyDescent="0.2">
      <c r="B3" s="79" t="s">
        <v>63</v>
      </c>
    </row>
    <row r="4" spans="1:17" ht="20.149999999999999" customHeight="1" x14ac:dyDescent="0.2">
      <c r="F4" s="53" t="s">
        <v>53</v>
      </c>
      <c r="N4" s="26"/>
      <c r="O4" s="26"/>
      <c r="P4" s="26"/>
      <c r="Q4" s="26"/>
    </row>
    <row r="5" spans="1:17" ht="20.149999999999999" customHeight="1" x14ac:dyDescent="0.2">
      <c r="F5" s="53" t="s">
        <v>24</v>
      </c>
      <c r="O5" s="24"/>
    </row>
    <row r="6" spans="1:17" ht="20.149999999999999" customHeight="1" x14ac:dyDescent="0.2">
      <c r="B6" s="14"/>
    </row>
    <row r="7" spans="1:17" ht="20.149999999999999" customHeight="1" x14ac:dyDescent="0.2">
      <c r="B7" s="14"/>
    </row>
    <row r="8" spans="1:17" ht="20.149999999999999" customHeight="1" x14ac:dyDescent="0.2"/>
    <row r="9" spans="1:17" ht="20.149999999999999" customHeight="1" x14ac:dyDescent="0.2">
      <c r="B9" s="4" t="s">
        <v>16</v>
      </c>
      <c r="C9" s="35">
        <v>50</v>
      </c>
      <c r="D9" s="3" t="s">
        <v>19</v>
      </c>
      <c r="E9" s="10"/>
      <c r="F9" s="11"/>
    </row>
    <row r="10" spans="1:17" ht="20.149999999999999" customHeight="1" x14ac:dyDescent="0.2">
      <c r="B10" s="4" t="s">
        <v>17</v>
      </c>
      <c r="C10" s="36">
        <v>1</v>
      </c>
      <c r="D10" s="3" t="s">
        <v>18</v>
      </c>
      <c r="E10" s="10"/>
      <c r="F10" s="11"/>
    </row>
    <row r="11" spans="1:17" ht="10" customHeight="1" x14ac:dyDescent="0.2">
      <c r="F11" s="11"/>
    </row>
    <row r="12" spans="1:17" ht="23.5" customHeight="1" x14ac:dyDescent="0.2">
      <c r="E12" s="63" t="s">
        <v>62</v>
      </c>
      <c r="F12" s="63" t="s">
        <v>59</v>
      </c>
      <c r="G12" s="63" t="s">
        <v>60</v>
      </c>
    </row>
    <row r="13" spans="1:17" ht="20.149999999999999" customHeight="1" x14ac:dyDescent="0.2">
      <c r="B13" s="101" t="s">
        <v>14</v>
      </c>
      <c r="C13" s="102"/>
      <c r="D13" s="103"/>
      <c r="E13" s="27">
        <f>IF(C10&gt;0,VLOOKUP(C9,B29:C35,2)*2,0)</f>
        <v>7560</v>
      </c>
      <c r="F13" s="64" t="s">
        <v>61</v>
      </c>
      <c r="G13" s="65">
        <f>+E13-0</f>
        <v>7560</v>
      </c>
    </row>
    <row r="14" spans="1:17" ht="20.149999999999999" customHeight="1" x14ac:dyDescent="0.2">
      <c r="B14" s="104" t="s">
        <v>13</v>
      </c>
      <c r="C14" s="8" t="s">
        <v>2</v>
      </c>
      <c r="D14" s="19" t="s">
        <v>31</v>
      </c>
      <c r="E14" s="28">
        <f>IF(C10&lt;201,C10*D40,200*D40)</f>
        <v>246</v>
      </c>
      <c r="F14" s="66">
        <f>+E14</f>
        <v>246</v>
      </c>
      <c r="G14" s="67">
        <f>+E14-F14</f>
        <v>0</v>
      </c>
    </row>
    <row r="15" spans="1:17" ht="20.149999999999999" customHeight="1" x14ac:dyDescent="0.2">
      <c r="B15" s="105"/>
      <c r="C15" s="9" t="s">
        <v>3</v>
      </c>
      <c r="D15" s="20" t="s">
        <v>33</v>
      </c>
      <c r="E15" s="29">
        <f>IF(C10&lt;201,0,IF(C10&lt;2001,(C10-200)*D41,1800*D41))</f>
        <v>0</v>
      </c>
      <c r="F15" s="66">
        <f t="shared" ref="F15:F16" si="0">+E15</f>
        <v>0</v>
      </c>
      <c r="G15" s="68">
        <f>+E15-F15</f>
        <v>0</v>
      </c>
    </row>
    <row r="16" spans="1:17" ht="20.149999999999999" customHeight="1" x14ac:dyDescent="0.2">
      <c r="B16" s="105"/>
      <c r="C16" s="9" t="s">
        <v>4</v>
      </c>
      <c r="D16" s="21" t="s">
        <v>34</v>
      </c>
      <c r="E16" s="30">
        <f>IF(C10&lt;2001,0,(C10-2000)*D42)</f>
        <v>0</v>
      </c>
      <c r="F16" s="66">
        <f t="shared" si="0"/>
        <v>0</v>
      </c>
      <c r="G16" s="68">
        <f>+E16-F16</f>
        <v>0</v>
      </c>
    </row>
    <row r="17" spans="2:9" ht="20.149999999999999" customHeight="1" x14ac:dyDescent="0.2">
      <c r="B17" s="55"/>
      <c r="C17" s="56"/>
      <c r="D17" s="57" t="s">
        <v>54</v>
      </c>
      <c r="E17" s="31">
        <f>SUM(E14:E16)</f>
        <v>246</v>
      </c>
      <c r="F17" s="70">
        <f>SUM(F14:F16)</f>
        <v>246</v>
      </c>
      <c r="G17" s="70">
        <f>SUM(G14:G16)</f>
        <v>0</v>
      </c>
    </row>
    <row r="18" spans="2:9" ht="20.149999999999999" customHeight="1" x14ac:dyDescent="0.2">
      <c r="B18" s="106" t="s">
        <v>12</v>
      </c>
      <c r="C18" s="107"/>
      <c r="D18" s="58" t="s">
        <v>55</v>
      </c>
      <c r="E18" s="37">
        <f>SUM(E13+E17)</f>
        <v>7806</v>
      </c>
      <c r="F18" s="72">
        <f>SUM(F17)</f>
        <v>246</v>
      </c>
      <c r="G18" s="65">
        <f>+E18-F18</f>
        <v>7560</v>
      </c>
    </row>
    <row r="19" spans="2:9" ht="20.149999999999999" customHeight="1" thickBot="1" x14ac:dyDescent="0.25">
      <c r="B19" s="59" t="s">
        <v>15</v>
      </c>
      <c r="C19" s="60">
        <v>0.1</v>
      </c>
      <c r="D19" s="61" t="s">
        <v>56</v>
      </c>
      <c r="E19" s="38">
        <f>ROUNDDOWN(E18*C19,0)</f>
        <v>780</v>
      </c>
      <c r="F19" s="73">
        <f>+F20-F18</f>
        <v>24</v>
      </c>
      <c r="G19" s="74">
        <f>+G20-G18</f>
        <v>750</v>
      </c>
    </row>
    <row r="20" spans="2:9" ht="31.5" customHeight="1" thickTop="1" thickBot="1" x14ac:dyDescent="0.25">
      <c r="B20" s="108" t="s">
        <v>57</v>
      </c>
      <c r="C20" s="109"/>
      <c r="D20" s="62" t="s">
        <v>58</v>
      </c>
      <c r="E20" s="34">
        <f>ROUNDDOWN(E18+E19,-1)</f>
        <v>8580</v>
      </c>
      <c r="F20" s="75">
        <f>ROUNDDOWN(F18*1.1,-1)</f>
        <v>270</v>
      </c>
      <c r="G20" s="76">
        <f>+E20-F20</f>
        <v>8310</v>
      </c>
      <c r="H20" s="11"/>
      <c r="I20" s="11"/>
    </row>
    <row r="21" spans="2:9" ht="20.149999999999999" customHeight="1" x14ac:dyDescent="0.2"/>
    <row r="22" spans="2:9" ht="20.149999999999999" customHeight="1" x14ac:dyDescent="0.2"/>
    <row r="23" spans="2:9" ht="20.149999999999999" customHeight="1" x14ac:dyDescent="0.2"/>
    <row r="24" spans="2:9" ht="20.149999999999999" customHeight="1" x14ac:dyDescent="0.2"/>
    <row r="25" spans="2:9" ht="20.149999999999999" customHeight="1" x14ac:dyDescent="0.2"/>
    <row r="26" spans="2:9" ht="20.149999999999999" customHeight="1" x14ac:dyDescent="0.2"/>
    <row r="27" spans="2:9" ht="20.149999999999999" customHeight="1" x14ac:dyDescent="0.2">
      <c r="B27" s="99" t="s">
        <v>20</v>
      </c>
      <c r="C27" s="100"/>
    </row>
    <row r="28" spans="2:9" ht="20.149999999999999" customHeight="1" x14ac:dyDescent="0.2">
      <c r="B28" s="5" t="s">
        <v>0</v>
      </c>
      <c r="C28" s="5" t="s">
        <v>1</v>
      </c>
    </row>
    <row r="29" spans="2:9" ht="20.149999999999999" customHeight="1" x14ac:dyDescent="0.2">
      <c r="B29" s="5">
        <v>13</v>
      </c>
      <c r="C29" s="15">
        <v>600</v>
      </c>
    </row>
    <row r="30" spans="2:9" ht="20.149999999999999" customHeight="1" x14ac:dyDescent="0.2">
      <c r="B30" s="5">
        <v>20</v>
      </c>
      <c r="C30" s="15">
        <v>800</v>
      </c>
    </row>
    <row r="31" spans="2:9" ht="20.149999999999999" customHeight="1" x14ac:dyDescent="0.2">
      <c r="B31" s="5">
        <v>25</v>
      </c>
      <c r="C31" s="15">
        <v>1080</v>
      </c>
    </row>
    <row r="32" spans="2:9" ht="20.149999999999999" customHeight="1" x14ac:dyDescent="0.2">
      <c r="B32" s="5">
        <v>30</v>
      </c>
      <c r="C32" s="15">
        <v>1430</v>
      </c>
    </row>
    <row r="33" spans="2:4" ht="20.149999999999999" customHeight="1" x14ac:dyDescent="0.2">
      <c r="B33" s="3">
        <v>40</v>
      </c>
      <c r="C33" s="5">
        <v>1980</v>
      </c>
    </row>
    <row r="34" spans="2:4" ht="20.149999999999999" customHeight="1" x14ac:dyDescent="0.2">
      <c r="B34" s="3">
        <v>50</v>
      </c>
      <c r="C34" s="5">
        <v>3780</v>
      </c>
    </row>
    <row r="35" spans="2:4" ht="20.149999999999999" customHeight="1" x14ac:dyDescent="0.2">
      <c r="B35" s="3">
        <v>75</v>
      </c>
      <c r="C35" s="5">
        <v>5570</v>
      </c>
    </row>
    <row r="36" spans="2:4" ht="20.149999999999999" customHeight="1" x14ac:dyDescent="0.2">
      <c r="B36" s="22"/>
      <c r="C36" s="23"/>
    </row>
    <row r="37" spans="2:4" ht="20.149999999999999" customHeight="1" x14ac:dyDescent="0.2"/>
    <row r="38" spans="2:4" ht="20.149999999999999" customHeight="1" x14ac:dyDescent="0.2">
      <c r="B38" s="101" t="s">
        <v>38</v>
      </c>
      <c r="C38" s="103"/>
      <c r="D38" s="7" t="s">
        <v>22</v>
      </c>
    </row>
    <row r="39" spans="2:4" ht="20.149999999999999" customHeight="1" x14ac:dyDescent="0.2">
      <c r="B39" s="4" t="s">
        <v>9</v>
      </c>
      <c r="C39" s="4" t="s">
        <v>10</v>
      </c>
      <c r="D39" s="7" t="s">
        <v>32</v>
      </c>
    </row>
    <row r="40" spans="2:4" ht="20.149999999999999" customHeight="1" x14ac:dyDescent="0.2">
      <c r="B40" s="18" t="s">
        <v>2</v>
      </c>
      <c r="C40" s="1" t="s">
        <v>35</v>
      </c>
      <c r="D40" s="16">
        <v>246</v>
      </c>
    </row>
    <row r="41" spans="2:4" ht="20.149999999999999" customHeight="1" x14ac:dyDescent="0.2">
      <c r="B41" s="18" t="s">
        <v>3</v>
      </c>
      <c r="C41" s="1" t="s">
        <v>36</v>
      </c>
      <c r="D41" s="16">
        <v>266</v>
      </c>
    </row>
    <row r="42" spans="2:4" ht="20.149999999999999" customHeight="1" x14ac:dyDescent="0.2">
      <c r="B42" s="18" t="s">
        <v>4</v>
      </c>
      <c r="C42" s="1" t="s">
        <v>37</v>
      </c>
      <c r="D42" s="16">
        <v>266</v>
      </c>
    </row>
    <row r="43" spans="2:4" ht="20.149999999999999" customHeight="1" x14ac:dyDescent="0.2"/>
  </sheetData>
  <mergeCells count="8">
    <mergeCell ref="A1:F1"/>
    <mergeCell ref="B38:C38"/>
    <mergeCell ref="B13:D13"/>
    <mergeCell ref="B14:B16"/>
    <mergeCell ref="B18:C18"/>
    <mergeCell ref="B27:C27"/>
    <mergeCell ref="B20:C20"/>
    <mergeCell ref="A2:G2"/>
  </mergeCells>
  <phoneticPr fontId="2"/>
  <dataValidations count="2">
    <dataValidation type="list" allowBlank="1" showInputMessage="1" showErrorMessage="1" sqref="C9" xr:uid="{00000000-0002-0000-0300-000000000000}">
      <formula1>$B$29:$B$35</formula1>
    </dataValidation>
    <dataValidation type="whole" operator="greaterThanOrEqual" allowBlank="1" showInputMessage="1" showErrorMessage="1" sqref="C10" xr:uid="{00000000-0002-0000-03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一般用（20mm以下）</vt:lpstr>
      <vt:lpstr>一般用（25mm以上）</vt:lpstr>
      <vt:lpstr>共同住宅用</vt:lpstr>
      <vt:lpstr>官公署用（13～75㎜）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JN60012</dc:creator>
  <cp:lastModifiedBy>曽根 英二</cp:lastModifiedBy>
  <cp:lastPrinted>2020-10-16T00:26:39Z</cp:lastPrinted>
  <dcterms:created xsi:type="dcterms:W3CDTF">2014-08-13T05:27:20Z</dcterms:created>
  <dcterms:modified xsi:type="dcterms:W3CDTF">2026-03-18T06:15:28Z</dcterms:modified>
</cp:coreProperties>
</file>