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産業建設部\上下水道課\料金係\料金関係\料金表\R8基本料金絶対賦課 (変更)\ホームページ用(4月1日改定後)\"/>
    </mc:Choice>
  </mc:AlternateContent>
  <xr:revisionPtr revIDLastSave="0" documentId="13_ncr:1_{91DF93B4-AE2B-40ED-AC84-1B2282F981F2}" xr6:coauthVersionLast="47" xr6:coauthVersionMax="47" xr10:uidLastSave="{00000000-0000-0000-0000-000000000000}"/>
  <bookViews>
    <workbookView xWindow="-110" yWindow="-110" windowWidth="19420" windowHeight="10300" tabRatio="859" xr2:uid="{00000000-000D-0000-FFFF-FFFF00000000}"/>
  </bookViews>
  <sheets>
    <sheet name="試算シート(R8.4月改定)" sheetId="12" r:id="rId1"/>
    <sheet name="試算シート(共同住宅・R8.4月改定)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2" l="1"/>
  <c r="O10" i="12"/>
  <c r="I9" i="13"/>
  <c r="I10" i="13" s="1"/>
  <c r="I15" i="13"/>
  <c r="E15" i="13"/>
  <c r="C16" i="13" s="1"/>
  <c r="E14" i="13"/>
  <c r="C15" i="13" s="1"/>
  <c r="E13" i="13"/>
  <c r="C14" i="13" s="1"/>
  <c r="E12" i="13"/>
  <c r="C13" i="13" s="1"/>
  <c r="J11" i="13"/>
  <c r="J12" i="13" s="1"/>
  <c r="J13" i="13" s="1"/>
  <c r="J14" i="13" s="1"/>
  <c r="J15" i="13" s="1"/>
  <c r="E11" i="13"/>
  <c r="C12" i="13" s="1"/>
  <c r="I8" i="13"/>
  <c r="I14" i="13" s="1"/>
  <c r="P13" i="12"/>
  <c r="P14" i="12" s="1"/>
  <c r="P15" i="12" s="1"/>
  <c r="P16" i="12" s="1"/>
  <c r="P17" i="12" s="1"/>
  <c r="H13" i="12"/>
  <c r="H14" i="12" s="1"/>
  <c r="H15" i="12" s="1"/>
  <c r="H16" i="12" s="1"/>
  <c r="H17" i="12" s="1"/>
  <c r="O12" i="12"/>
  <c r="G12" i="12"/>
  <c r="G10" i="12"/>
  <c r="G17" i="12" s="1"/>
  <c r="I12" i="13" l="1"/>
  <c r="I16" i="13"/>
  <c r="I13" i="13"/>
  <c r="I11" i="13"/>
  <c r="O17" i="12"/>
  <c r="O14" i="12"/>
  <c r="O16" i="12"/>
  <c r="O13" i="12"/>
  <c r="O15" i="12"/>
  <c r="O18" i="12"/>
  <c r="G15" i="12"/>
  <c r="G18" i="12"/>
  <c r="G13" i="12"/>
  <c r="G16" i="12"/>
  <c r="G14" i="12"/>
  <c r="G19" i="12" l="1"/>
  <c r="G20" i="12" s="1"/>
  <c r="G21" i="12" s="1"/>
  <c r="G23" i="12" s="1"/>
  <c r="G22" i="12" s="1"/>
  <c r="I17" i="13"/>
  <c r="I18" i="13" s="1"/>
  <c r="I19" i="13" s="1"/>
  <c r="I21" i="13" s="1"/>
  <c r="I20" i="13" s="1"/>
  <c r="O19" i="12"/>
  <c r="O20" i="12" s="1"/>
  <c r="O21" i="12" s="1"/>
  <c r="O23" i="12" s="1"/>
  <c r="O22" i="12" s="1"/>
</calcChain>
</file>

<file path=xl/sharedStrings.xml><?xml version="1.0" encoding="utf-8"?>
<sst xmlns="http://schemas.openxmlformats.org/spreadsheetml/2006/main" count="94" uniqueCount="37">
  <si>
    <t>水道使用量</t>
    <rPh sb="0" eb="2">
      <t>スイドウ</t>
    </rPh>
    <rPh sb="2" eb="4">
      <t>シヨウ</t>
    </rPh>
    <phoneticPr fontId="2"/>
  </si>
  <si>
    <t>㎥/月</t>
    <rPh sb="2" eb="3">
      <t>ツキ</t>
    </rPh>
    <phoneticPr fontId="2"/>
  </si>
  <si>
    <t>円/㎥</t>
    <rPh sb="0" eb="1">
      <t>エン</t>
    </rPh>
    <phoneticPr fontId="2"/>
  </si>
  <si>
    <t>101～</t>
    <phoneticPr fontId="2"/>
  </si>
  <si>
    <t>使用人数</t>
    <rPh sb="0" eb="2">
      <t>シヨウ</t>
    </rPh>
    <rPh sb="2" eb="4">
      <t>ニンズウ</t>
    </rPh>
    <phoneticPr fontId="2"/>
  </si>
  <si>
    <t>認定汚水量</t>
    <rPh sb="0" eb="2">
      <t>ニンテイ</t>
    </rPh>
    <rPh sb="2" eb="4">
      <t>オスイ</t>
    </rPh>
    <rPh sb="4" eb="5">
      <t>リョウ</t>
    </rPh>
    <phoneticPr fontId="2"/>
  </si>
  <si>
    <t>従量料金</t>
    <rPh sb="0" eb="2">
      <t>ジュウリョウ</t>
    </rPh>
    <rPh sb="2" eb="4">
      <t>リョウキン</t>
    </rPh>
    <phoneticPr fontId="2"/>
  </si>
  <si>
    <t>※上水道と井戸水を併用で使用されている方は、水道使用量と認定汚水量を比較して、多い方での計算になります。</t>
    <rPh sb="1" eb="4">
      <t>ジョウスイドウ</t>
    </rPh>
    <rPh sb="5" eb="7">
      <t>イド</t>
    </rPh>
    <rPh sb="7" eb="8">
      <t>ミズ</t>
    </rPh>
    <rPh sb="9" eb="11">
      <t>ヘイヨウ</t>
    </rPh>
    <rPh sb="12" eb="14">
      <t>シヨウ</t>
    </rPh>
    <rPh sb="19" eb="20">
      <t>カタ</t>
    </rPh>
    <rPh sb="22" eb="24">
      <t>スイドウ</t>
    </rPh>
    <rPh sb="24" eb="26">
      <t>シヨウ</t>
    </rPh>
    <rPh sb="26" eb="27">
      <t>リョウ</t>
    </rPh>
    <rPh sb="28" eb="30">
      <t>ニンテイ</t>
    </rPh>
    <rPh sb="30" eb="32">
      <t>オスイ</t>
    </rPh>
    <rPh sb="32" eb="33">
      <t>リョウ</t>
    </rPh>
    <rPh sb="34" eb="36">
      <t>ヒカク</t>
    </rPh>
    <rPh sb="39" eb="40">
      <t>オオ</t>
    </rPh>
    <rPh sb="41" eb="42">
      <t>ホウ</t>
    </rPh>
    <rPh sb="44" eb="46">
      <t>ケイサン</t>
    </rPh>
    <phoneticPr fontId="2"/>
  </si>
  <si>
    <t>上水道を使用</t>
    <rPh sb="0" eb="1">
      <t>ウエ</t>
    </rPh>
    <rPh sb="1" eb="3">
      <t>スイドウ</t>
    </rPh>
    <rPh sb="4" eb="6">
      <t>シヨウ</t>
    </rPh>
    <phoneticPr fontId="2"/>
  </si>
  <si>
    <t>井戸水のみ使用</t>
    <rPh sb="0" eb="3">
      <t>イドミズ</t>
    </rPh>
    <rPh sb="5" eb="7">
      <t>シヨウ</t>
    </rPh>
    <phoneticPr fontId="2"/>
  </si>
  <si>
    <t>東温市下水道使用料試算シート</t>
    <rPh sb="0" eb="2">
      <t>トウオン</t>
    </rPh>
    <rPh sb="2" eb="3">
      <t>シ</t>
    </rPh>
    <rPh sb="3" eb="6">
      <t>ゲスイドウ</t>
    </rPh>
    <rPh sb="6" eb="8">
      <t>シヨウ</t>
    </rPh>
    <rPh sb="9" eb="11">
      <t>シサン</t>
    </rPh>
    <phoneticPr fontId="2"/>
  </si>
  <si>
    <t>請求額（２か月分）</t>
    <rPh sb="0" eb="2">
      <t>セイキュウ</t>
    </rPh>
    <rPh sb="2" eb="3">
      <t>ガク</t>
    </rPh>
    <rPh sb="6" eb="7">
      <t>ゲツ</t>
    </rPh>
    <rPh sb="7" eb="8">
      <t>ブン</t>
    </rPh>
    <phoneticPr fontId="2"/>
  </si>
  <si>
    <t>認定汚水量（１か月あたり）</t>
    <rPh sb="0" eb="2">
      <t>ニンテイ</t>
    </rPh>
    <rPh sb="2" eb="4">
      <t>オスイ</t>
    </rPh>
    <rPh sb="4" eb="5">
      <t>リョウ</t>
    </rPh>
    <rPh sb="8" eb="9">
      <t>ガツ</t>
    </rPh>
    <phoneticPr fontId="2"/>
  </si>
  <si>
    <t>水道使用量（１か月あたり）</t>
    <rPh sb="0" eb="2">
      <t>スイドウ</t>
    </rPh>
    <rPh sb="2" eb="4">
      <t>シヨウ</t>
    </rPh>
    <rPh sb="4" eb="5">
      <t>リョウ</t>
    </rPh>
    <rPh sb="8" eb="9">
      <t>ツキ</t>
    </rPh>
    <phoneticPr fontId="2"/>
  </si>
  <si>
    <t xml:space="preserve">  1～10</t>
    <phoneticPr fontId="2"/>
  </si>
  <si>
    <t xml:space="preserve"> 11～20</t>
    <phoneticPr fontId="2"/>
  </si>
  <si>
    <t xml:space="preserve"> 21～30</t>
    <phoneticPr fontId="2"/>
  </si>
  <si>
    <t xml:space="preserve"> 31～50</t>
    <phoneticPr fontId="2"/>
  </si>
  <si>
    <t xml:space="preserve"> 51～100</t>
    <phoneticPr fontId="2"/>
  </si>
  <si>
    <t>～</t>
    <phoneticPr fontId="2"/>
  </si>
  <si>
    <t>住宅戸数</t>
    <rPh sb="0" eb="2">
      <t>ジュウタク</t>
    </rPh>
    <rPh sb="2" eb="4">
      <t>コスウ</t>
    </rPh>
    <phoneticPr fontId="2"/>
  </si>
  <si>
    <t>共同住宅</t>
    <rPh sb="0" eb="2">
      <t>キョウドウ</t>
    </rPh>
    <rPh sb="2" eb="4">
      <t>ジュウタク</t>
    </rPh>
    <phoneticPr fontId="2"/>
  </si>
  <si>
    <t>消　費　税　（10％）</t>
    <rPh sb="0" eb="1">
      <t>ショウ</t>
    </rPh>
    <rPh sb="2" eb="3">
      <t>ヒ</t>
    </rPh>
    <rPh sb="4" eb="5">
      <t>ゼイ</t>
    </rPh>
    <phoneticPr fontId="2"/>
  </si>
  <si>
    <t>消費税10％</t>
    <rPh sb="0" eb="3">
      <t>ショウヒゼイ</t>
    </rPh>
    <phoneticPr fontId="2"/>
  </si>
  <si>
    <t>消費税（１０％）</t>
    <rPh sb="0" eb="1">
      <t>ショウ</t>
    </rPh>
    <rPh sb="1" eb="2">
      <t>ヒ</t>
    </rPh>
    <rPh sb="2" eb="3">
      <t>ゼイ</t>
    </rPh>
    <phoneticPr fontId="2"/>
  </si>
  <si>
    <t>基本料金（１か月あたり）</t>
    <rPh sb="0" eb="2">
      <t>キホン</t>
    </rPh>
    <rPh sb="2" eb="4">
      <t>リョウキン</t>
    </rPh>
    <phoneticPr fontId="2"/>
  </si>
  <si>
    <t>基本料金（２か月あたり）①</t>
    <rPh sb="0" eb="2">
      <t>キホン</t>
    </rPh>
    <rPh sb="2" eb="4">
      <t>リョウキン</t>
    </rPh>
    <phoneticPr fontId="2"/>
  </si>
  <si>
    <t>　従量料金（１か月あたり）</t>
    <rPh sb="8" eb="9">
      <t>ツキ</t>
    </rPh>
    <phoneticPr fontId="2"/>
  </si>
  <si>
    <t>　従量料金（２か月あたり）②</t>
    <rPh sb="8" eb="9">
      <t>ツキ</t>
    </rPh>
    <phoneticPr fontId="2"/>
  </si>
  <si>
    <t>①+②　小計(消費税抜き)</t>
    <rPh sb="4" eb="6">
      <t>ショウケイ</t>
    </rPh>
    <rPh sb="7" eb="10">
      <t>ショウヒゼイ</t>
    </rPh>
    <rPh sb="10" eb="11">
      <t>ヌ</t>
    </rPh>
    <phoneticPr fontId="2"/>
  </si>
  <si>
    <t>①+②　小計(消費税抜き)</t>
    <phoneticPr fontId="2"/>
  </si>
  <si>
    <t>　基本使用料（２か月あたり）①</t>
    <rPh sb="1" eb="3">
      <t>キホン</t>
    </rPh>
    <rPh sb="3" eb="6">
      <t>シヨウリョウ</t>
    </rPh>
    <phoneticPr fontId="2"/>
  </si>
  <si>
    <t>　基本使用料（１か月あたり）</t>
    <rPh sb="1" eb="3">
      <t>キホン</t>
    </rPh>
    <rPh sb="3" eb="6">
      <t>シヨウリョウ</t>
    </rPh>
    <phoneticPr fontId="2"/>
  </si>
  <si>
    <t>従量使用料</t>
    <rPh sb="0" eb="2">
      <t>ジュウリョウ</t>
    </rPh>
    <rPh sb="2" eb="5">
      <t>シヨウリョウ</t>
    </rPh>
    <phoneticPr fontId="2"/>
  </si>
  <si>
    <t xml:space="preserve"> 従量使用料(１か月あたり)</t>
    <rPh sb="1" eb="3">
      <t>ジュウリョウ</t>
    </rPh>
    <rPh sb="3" eb="6">
      <t>シヨウリョウ</t>
    </rPh>
    <phoneticPr fontId="2"/>
  </si>
  <si>
    <t xml:space="preserve"> 従量使用料(２か月あたり)②</t>
    <rPh sb="1" eb="3">
      <t>ジュウリョウ</t>
    </rPh>
    <rPh sb="3" eb="6">
      <t>シヨウリョウ</t>
    </rPh>
    <phoneticPr fontId="2"/>
  </si>
  <si>
    <t>令和8年4月使用分(R8.6月期)から</t>
    <rPh sb="0" eb="2">
      <t>レイワ</t>
    </rPh>
    <rPh sb="3" eb="4">
      <t>ネン</t>
    </rPh>
    <rPh sb="5" eb="6">
      <t>ガツ</t>
    </rPh>
    <rPh sb="6" eb="8">
      <t>シヨウ</t>
    </rPh>
    <rPh sb="8" eb="9">
      <t>ブン</t>
    </rPh>
    <rPh sb="14" eb="15">
      <t>ガツ</t>
    </rPh>
    <rPh sb="15" eb="16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</si>
</sst>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&quot;"/>
    <numFmt numFmtId="177" formatCode="#,##0&quot;円&quot;"/>
    <numFmt numFmtId="178" formatCode="#,##0.0&quot;㎥&quot;"/>
    <numFmt numFmtId="179" formatCode="0&quot;戸&quot;"/>
    <numFmt numFmtId="180" formatCode="#,##0.0&quot;円&quot;"/>
    <numFmt numFmtId="181" formatCode="#,##0&quot;㎥&quot;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HGS創英角ｺﾞｼｯｸUB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12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76">
    <xf numFmtId="0" fontId="0" fillId="0" borderId="0" xfId="0">
      <alignment vertical="center"/>
    </xf>
    <xf numFmtId="178" fontId="4" fillId="2" borderId="4" xfId="0" applyNumberFormat="1" applyFont="1" applyFill="1" applyBorder="1" applyProtection="1">
      <alignment vertical="center"/>
      <protection locked="0"/>
    </xf>
    <xf numFmtId="179" fontId="4" fillId="2" borderId="4" xfId="0" applyNumberFormat="1" applyFont="1" applyFill="1" applyBorder="1" applyProtection="1">
      <alignment vertical="center"/>
      <protection locked="0"/>
    </xf>
    <xf numFmtId="0" fontId="1" fillId="0" borderId="0" xfId="2">
      <alignment vertical="center"/>
    </xf>
    <xf numFmtId="0" fontId="7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176" fontId="4" fillId="2" borderId="4" xfId="3" applyNumberFormat="1" applyFont="1" applyFill="1" applyBorder="1" applyProtection="1">
      <alignment vertical="center"/>
      <protection locked="0"/>
    </xf>
    <xf numFmtId="181" fontId="4" fillId="2" borderId="4" xfId="2" applyNumberFormat="1" applyFont="1" applyFill="1" applyBorder="1" applyProtection="1">
      <alignment vertical="center"/>
      <protection locked="0"/>
    </xf>
    <xf numFmtId="181" fontId="1" fillId="0" borderId="9" xfId="2" applyNumberFormat="1" applyBorder="1">
      <alignment vertical="center"/>
    </xf>
    <xf numFmtId="178" fontId="1" fillId="0" borderId="9" xfId="2" applyNumberFormat="1" applyBorder="1">
      <alignment vertical="center"/>
    </xf>
    <xf numFmtId="178" fontId="1" fillId="0" borderId="3" xfId="2" applyNumberFormat="1" applyBorder="1">
      <alignment vertical="center"/>
    </xf>
    <xf numFmtId="177" fontId="0" fillId="0" borderId="3" xfId="3" applyNumberFormat="1" applyFont="1" applyBorder="1">
      <alignment vertical="center"/>
    </xf>
    <xf numFmtId="0" fontId="1" fillId="0" borderId="2" xfId="2" applyBorder="1">
      <alignment vertical="center"/>
    </xf>
    <xf numFmtId="0" fontId="1" fillId="0" borderId="3" xfId="2" applyBorder="1">
      <alignment vertical="center"/>
    </xf>
    <xf numFmtId="180" fontId="0" fillId="0" borderId="1" xfId="3" applyNumberFormat="1" applyFont="1" applyBorder="1">
      <alignment vertical="center"/>
    </xf>
    <xf numFmtId="38" fontId="3" fillId="0" borderId="0" xfId="3" applyFont="1">
      <alignment vertical="center"/>
    </xf>
    <xf numFmtId="177" fontId="0" fillId="0" borderId="1" xfId="3" applyNumberFormat="1" applyFont="1" applyBorder="1">
      <alignment vertical="center"/>
    </xf>
    <xf numFmtId="177" fontId="0" fillId="0" borderId="5" xfId="3" applyNumberFormat="1" applyFont="1" applyBorder="1">
      <alignment vertical="center"/>
    </xf>
    <xf numFmtId="177" fontId="4" fillId="0" borderId="8" xfId="3" applyNumberFormat="1" applyFont="1" applyBorder="1">
      <alignment vertical="center"/>
    </xf>
    <xf numFmtId="38" fontId="0" fillId="0" borderId="0" xfId="3" applyFont="1">
      <alignment vertical="center"/>
    </xf>
    <xf numFmtId="0" fontId="4" fillId="0" borderId="0" xfId="2" applyFont="1">
      <alignment vertical="center"/>
    </xf>
    <xf numFmtId="0" fontId="0" fillId="0" borderId="0" xfId="0" applyProtection="1">
      <alignment vertical="center"/>
    </xf>
    <xf numFmtId="178" fontId="0" fillId="0" borderId="9" xfId="0" applyNumberFormat="1" applyBorder="1" applyProtection="1">
      <alignment vertical="center"/>
    </xf>
    <xf numFmtId="177" fontId="0" fillId="0" borderId="3" xfId="1" applyNumberFormat="1" applyFont="1" applyBorder="1" applyProtection="1">
      <alignment vertical="center"/>
    </xf>
    <xf numFmtId="38" fontId="0" fillId="0" borderId="2" xfId="1" applyFont="1" applyBorder="1" applyAlignment="1" applyProtection="1">
      <alignment vertical="center"/>
    </xf>
    <xf numFmtId="38" fontId="0" fillId="0" borderId="11" xfId="1" applyFont="1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2" xfId="0" applyBorder="1" applyProtection="1">
      <alignment vertical="center"/>
    </xf>
    <xf numFmtId="180" fontId="0" fillId="0" borderId="1" xfId="1" applyNumberFormat="1" applyFont="1" applyBorder="1" applyProtection="1">
      <alignment vertical="center"/>
    </xf>
    <xf numFmtId="38" fontId="3" fillId="0" borderId="0" xfId="1" applyFont="1" applyProtection="1">
      <alignment vertical="center"/>
    </xf>
    <xf numFmtId="177" fontId="0" fillId="0" borderId="1" xfId="1" applyNumberFormat="1" applyFont="1" applyBorder="1" applyProtection="1">
      <alignment vertical="center"/>
    </xf>
    <xf numFmtId="177" fontId="0" fillId="0" borderId="5" xfId="1" applyNumberFormat="1" applyFont="1" applyBorder="1" applyProtection="1">
      <alignment vertical="center"/>
    </xf>
    <xf numFmtId="177" fontId="4" fillId="0" borderId="8" xfId="1" applyNumberFormat="1" applyFont="1" applyBorder="1" applyProtection="1">
      <alignment vertical="center"/>
    </xf>
    <xf numFmtId="38" fontId="0" fillId="0" borderId="0" xfId="1" applyFont="1" applyProtection="1">
      <alignment vertical="center"/>
    </xf>
    <xf numFmtId="0" fontId="4" fillId="0" borderId="0" xfId="0" applyFont="1" applyProtection="1">
      <alignment vertical="center"/>
    </xf>
    <xf numFmtId="177" fontId="9" fillId="0" borderId="3" xfId="3" applyNumberFormat="1" applyFont="1" applyBorder="1">
      <alignment vertical="center"/>
    </xf>
    <xf numFmtId="177" fontId="9" fillId="0" borderId="5" xfId="3" applyNumberFormat="1" applyFont="1" applyBorder="1">
      <alignment vertical="center"/>
    </xf>
    <xf numFmtId="177" fontId="9" fillId="0" borderId="3" xfId="1" applyNumberFormat="1" applyFont="1" applyBorder="1" applyProtection="1">
      <alignment vertical="center"/>
    </xf>
    <xf numFmtId="177" fontId="9" fillId="0" borderId="5" xfId="1" applyNumberFormat="1" applyFont="1" applyBorder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1" xfId="2" applyBorder="1" applyAlignment="1">
      <alignment vertical="center" textRotation="255"/>
    </xf>
    <xf numFmtId="0" fontId="0" fillId="0" borderId="2" xfId="2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3" xfId="2" applyBorder="1" applyAlignment="1">
      <alignment vertical="center"/>
    </xf>
    <xf numFmtId="0" fontId="1" fillId="0" borderId="1" xfId="2" applyBorder="1" applyAlignment="1">
      <alignment horizontal="center" vertical="center"/>
    </xf>
    <xf numFmtId="0" fontId="0" fillId="0" borderId="1" xfId="2" applyFont="1" applyBorder="1" applyAlignment="1">
      <alignment horizontal="left" vertical="center" shrinkToFit="1"/>
    </xf>
    <xf numFmtId="0" fontId="1" fillId="0" borderId="1" xfId="2" applyBorder="1" applyAlignment="1">
      <alignment horizontal="left" vertical="center" shrinkToFit="1"/>
    </xf>
    <xf numFmtId="0" fontId="1" fillId="0" borderId="2" xfId="2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textRotation="255"/>
    </xf>
    <xf numFmtId="0" fontId="0" fillId="0" borderId="2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2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76201</xdr:rowOff>
    </xdr:from>
    <xdr:to>
      <xdr:col>8</xdr:col>
      <xdr:colOff>533400</xdr:colOff>
      <xdr:row>7</xdr:row>
      <xdr:rowOff>228601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75D85F03-E4AC-414A-A0E3-AEC0D60CD853}"/>
            </a:ext>
          </a:extLst>
        </xdr:cNvPr>
        <xdr:cNvSpPr/>
      </xdr:nvSpPr>
      <xdr:spPr>
        <a:xfrm>
          <a:off x="1984375" y="1060451"/>
          <a:ext cx="2517775" cy="895350"/>
        </a:xfrm>
        <a:prstGeom prst="downArrowCallout">
          <a:avLst>
            <a:gd name="adj1" fmla="val 22535"/>
            <a:gd name="adj2" fmla="val 25000"/>
            <a:gd name="adj3" fmla="val 25000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このセルに使用水量（２か月分）を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  <xdr:twoCellAnchor>
    <xdr:from>
      <xdr:col>13</xdr:col>
      <xdr:colOff>228601</xdr:colOff>
      <xdr:row>3</xdr:row>
      <xdr:rowOff>57151</xdr:rowOff>
    </xdr:from>
    <xdr:to>
      <xdr:col>16</xdr:col>
      <xdr:colOff>266701</xdr:colOff>
      <xdr:row>6</xdr:row>
      <xdr:rowOff>209551</xdr:rowOff>
    </xdr:to>
    <xdr:sp macro="" textlink="">
      <xdr:nvSpPr>
        <xdr:cNvPr id="3" name="下矢印吹き出し 2">
          <a:extLst>
            <a:ext uri="{FF2B5EF4-FFF2-40B4-BE49-F238E27FC236}">
              <a16:creationId xmlns:a16="http://schemas.microsoft.com/office/drawing/2014/main" id="{67F9487C-8CE0-4A1B-B33C-82DCBB629E95}"/>
            </a:ext>
          </a:extLst>
        </xdr:cNvPr>
        <xdr:cNvSpPr/>
      </xdr:nvSpPr>
      <xdr:spPr>
        <a:xfrm>
          <a:off x="6781801" y="793751"/>
          <a:ext cx="1841500" cy="895350"/>
        </a:xfrm>
        <a:prstGeom prst="downArrowCallout">
          <a:avLst>
            <a:gd name="adj1" fmla="val 22535"/>
            <a:gd name="adj2" fmla="val 25000"/>
            <a:gd name="adj3" fmla="val 25000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このセルに使用人数を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7</xdr:row>
      <xdr:rowOff>123825</xdr:rowOff>
    </xdr:from>
    <xdr:to>
      <xdr:col>12</xdr:col>
      <xdr:colOff>200024</xdr:colOff>
      <xdr:row>11</xdr:row>
      <xdr:rowOff>133350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C31B4375-C006-49B1-9AE5-7326E9F08B91}"/>
            </a:ext>
          </a:extLst>
        </xdr:cNvPr>
        <xdr:cNvSpPr/>
      </xdr:nvSpPr>
      <xdr:spPr>
        <a:xfrm>
          <a:off x="4575174" y="1851025"/>
          <a:ext cx="1644650" cy="1000125"/>
        </a:xfrm>
        <a:prstGeom prst="wedgeRoundRectCallout">
          <a:avLst>
            <a:gd name="adj1" fmla="val -49181"/>
            <a:gd name="adj2" fmla="val -8307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このセルに住宅戸数を入力してください。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7769-BA1A-4512-89D6-F9E4AE1BFA3D}">
  <sheetPr>
    <pageSetUpPr fitToPage="1"/>
  </sheetPr>
  <dimension ref="A1:Q27"/>
  <sheetViews>
    <sheetView tabSelected="1" workbookViewId="0">
      <selection activeCell="D7" sqref="D7"/>
    </sheetView>
  </sheetViews>
  <sheetFormatPr defaultColWidth="9" defaultRowHeight="19.5" customHeight="1" x14ac:dyDescent="0.2"/>
  <cols>
    <col min="1" max="1" width="4.83203125" style="3" customWidth="1"/>
    <col min="2" max="2" width="3.33203125" style="3" customWidth="1"/>
    <col min="3" max="3" width="8.5" style="3" bestFit="1" customWidth="1"/>
    <col min="4" max="4" width="6.5" style="3" bestFit="1" customWidth="1"/>
    <col min="5" max="5" width="5.5" style="3" bestFit="1" customWidth="1"/>
    <col min="6" max="6" width="9.6640625" style="3" customWidth="1"/>
    <col min="7" max="7" width="13.75" style="3" customWidth="1"/>
    <col min="8" max="8" width="6.75" style="3" hidden="1" customWidth="1"/>
    <col min="9" max="9" width="11.08203125" style="3" customWidth="1"/>
    <col min="10" max="10" width="3.33203125" style="3" customWidth="1"/>
    <col min="11" max="11" width="8.5" style="3" bestFit="1" customWidth="1"/>
    <col min="12" max="12" width="6.5" style="3" bestFit="1" customWidth="1"/>
    <col min="13" max="13" width="4.5" style="3" bestFit="1" customWidth="1"/>
    <col min="14" max="14" width="9.9140625" style="3" customWidth="1"/>
    <col min="15" max="15" width="13.75" style="3" customWidth="1"/>
    <col min="16" max="16" width="1.75" style="3" hidden="1" customWidth="1"/>
    <col min="17" max="16384" width="9" style="3"/>
  </cols>
  <sheetData>
    <row r="1" spans="1:17" ht="19" x14ac:dyDescent="0.2">
      <c r="A1" s="54" t="s">
        <v>10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19.5" customHeight="1" x14ac:dyDescent="0.2">
      <c r="N2" s="55" t="s">
        <v>36</v>
      </c>
      <c r="O2" s="55"/>
      <c r="P2" s="55"/>
      <c r="Q2" s="55"/>
    </row>
    <row r="3" spans="1:17" ht="19.5" customHeight="1" x14ac:dyDescent="0.2">
      <c r="O3" s="4" t="s">
        <v>23</v>
      </c>
    </row>
    <row r="4" spans="1:17" ht="19.5" customHeight="1" x14ac:dyDescent="0.2">
      <c r="B4" s="56" t="s">
        <v>8</v>
      </c>
      <c r="C4" s="56"/>
      <c r="D4" s="56"/>
      <c r="E4" s="56"/>
      <c r="F4" s="56"/>
      <c r="G4" s="56"/>
      <c r="J4" s="56" t="s">
        <v>9</v>
      </c>
      <c r="K4" s="56"/>
      <c r="L4" s="56"/>
      <c r="M4" s="56"/>
      <c r="N4" s="56"/>
      <c r="O4" s="56"/>
    </row>
    <row r="5" spans="1:17" ht="19.5" customHeight="1" x14ac:dyDescent="0.2">
      <c r="B5" s="5"/>
      <c r="C5" s="5"/>
      <c r="D5" s="5"/>
      <c r="E5" s="5"/>
      <c r="F5" s="5"/>
      <c r="G5" s="5"/>
      <c r="J5" s="5"/>
      <c r="K5" s="5"/>
      <c r="L5" s="5"/>
      <c r="M5" s="5"/>
      <c r="N5" s="5"/>
      <c r="O5" s="5"/>
    </row>
    <row r="6" spans="1:17" ht="19.5" customHeight="1" x14ac:dyDescent="0.2">
      <c r="B6" s="5"/>
      <c r="C6" s="5"/>
      <c r="D6" s="5"/>
      <c r="E6" s="5"/>
      <c r="F6" s="5"/>
      <c r="G6" s="5"/>
      <c r="J6" s="5"/>
      <c r="K6" s="5"/>
      <c r="L6" s="5"/>
      <c r="M6" s="5"/>
      <c r="N6" s="5"/>
      <c r="O6" s="5"/>
    </row>
    <row r="7" spans="1:17" ht="19.5" customHeight="1" thickBot="1" x14ac:dyDescent="0.25"/>
    <row r="8" spans="1:17" ht="19.5" customHeight="1" thickBot="1" x14ac:dyDescent="0.25">
      <c r="J8" s="50" t="s">
        <v>4</v>
      </c>
      <c r="K8" s="50"/>
      <c r="L8" s="50"/>
      <c r="M8" s="50"/>
      <c r="N8" s="53"/>
      <c r="O8" s="6">
        <v>2</v>
      </c>
    </row>
    <row r="9" spans="1:17" ht="19.5" customHeight="1" thickBot="1" x14ac:dyDescent="0.25">
      <c r="B9" s="50" t="s">
        <v>0</v>
      </c>
      <c r="C9" s="50"/>
      <c r="D9" s="50"/>
      <c r="E9" s="50"/>
      <c r="F9" s="53"/>
      <c r="G9" s="7">
        <v>10</v>
      </c>
      <c r="J9" s="50" t="s">
        <v>5</v>
      </c>
      <c r="K9" s="50"/>
      <c r="L9" s="50"/>
      <c r="M9" s="50"/>
      <c r="N9" s="50"/>
      <c r="O9" s="8">
        <f>IF(O8&lt;=2,O8*8,16+(O8-2)*3)*2</f>
        <v>32</v>
      </c>
    </row>
    <row r="10" spans="1:17" ht="19.5" customHeight="1" x14ac:dyDescent="0.2">
      <c r="B10" s="40" t="s">
        <v>13</v>
      </c>
      <c r="C10" s="50"/>
      <c r="D10" s="50"/>
      <c r="E10" s="50"/>
      <c r="F10" s="50"/>
      <c r="G10" s="9">
        <f>G9/2</f>
        <v>5</v>
      </c>
      <c r="J10" s="50" t="s">
        <v>12</v>
      </c>
      <c r="K10" s="50"/>
      <c r="L10" s="50"/>
      <c r="M10" s="50"/>
      <c r="N10" s="50"/>
      <c r="O10" s="10">
        <f>O9/2</f>
        <v>16</v>
      </c>
    </row>
    <row r="11" spans="1:17" ht="19.5" customHeight="1" x14ac:dyDescent="0.2">
      <c r="B11" s="51" t="s">
        <v>32</v>
      </c>
      <c r="C11" s="52"/>
      <c r="D11" s="52"/>
      <c r="E11" s="52"/>
      <c r="F11" s="52"/>
      <c r="G11" s="11">
        <v>650</v>
      </c>
      <c r="J11" s="51" t="s">
        <v>32</v>
      </c>
      <c r="K11" s="52"/>
      <c r="L11" s="52"/>
      <c r="M11" s="52"/>
      <c r="N11" s="52"/>
      <c r="O11" s="11">
        <v>650</v>
      </c>
    </row>
    <row r="12" spans="1:17" ht="19.5" customHeight="1" x14ac:dyDescent="0.2">
      <c r="B12" s="51" t="s">
        <v>31</v>
      </c>
      <c r="C12" s="52"/>
      <c r="D12" s="52"/>
      <c r="E12" s="52"/>
      <c r="F12" s="52"/>
      <c r="G12" s="35">
        <f>+G11*2</f>
        <v>1300</v>
      </c>
      <c r="J12" s="51" t="s">
        <v>31</v>
      </c>
      <c r="K12" s="52"/>
      <c r="L12" s="52"/>
      <c r="M12" s="52"/>
      <c r="N12" s="52"/>
      <c r="O12" s="35">
        <f>+O11*2</f>
        <v>1300</v>
      </c>
    </row>
    <row r="13" spans="1:17" ht="19.5" customHeight="1" x14ac:dyDescent="0.2">
      <c r="B13" s="46" t="s">
        <v>33</v>
      </c>
      <c r="C13" s="12" t="s">
        <v>14</v>
      </c>
      <c r="D13" s="13" t="s">
        <v>1</v>
      </c>
      <c r="E13" s="12">
        <v>90</v>
      </c>
      <c r="F13" s="13" t="s">
        <v>2</v>
      </c>
      <c r="G13" s="14">
        <f>IF(G10&lt;=10,ROUNDDOWN(G10*E13,1),E13*10)</f>
        <v>450</v>
      </c>
      <c r="H13" s="15">
        <f>E13*10</f>
        <v>900</v>
      </c>
      <c r="I13" s="15"/>
      <c r="J13" s="46" t="s">
        <v>33</v>
      </c>
      <c r="K13" s="12" t="s">
        <v>14</v>
      </c>
      <c r="L13" s="13" t="s">
        <v>1</v>
      </c>
      <c r="M13" s="12">
        <v>90</v>
      </c>
      <c r="N13" s="13" t="s">
        <v>2</v>
      </c>
      <c r="O13" s="14">
        <f>IF(O10&lt;=10,ROUNDDOWN(O10*M13,1),M13*10)</f>
        <v>900</v>
      </c>
      <c r="P13" s="15">
        <f>M13*10</f>
        <v>900</v>
      </c>
    </row>
    <row r="14" spans="1:17" ht="19.5" customHeight="1" x14ac:dyDescent="0.2">
      <c r="B14" s="46"/>
      <c r="C14" s="12" t="s">
        <v>15</v>
      </c>
      <c r="D14" s="13" t="s">
        <v>1</v>
      </c>
      <c r="E14" s="12">
        <v>180</v>
      </c>
      <c r="F14" s="13" t="s">
        <v>2</v>
      </c>
      <c r="G14" s="14" t="str">
        <f>IF(AND(10&lt;G10,G10&lt;=20),ROUNDDOWN(E14*(G10-10),1),IF(G10&gt;20,10*E14,""))</f>
        <v/>
      </c>
      <c r="H14" s="15">
        <f>H13+E14*10</f>
        <v>2700</v>
      </c>
      <c r="I14" s="15"/>
      <c r="J14" s="46"/>
      <c r="K14" s="12" t="s">
        <v>15</v>
      </c>
      <c r="L14" s="13" t="s">
        <v>1</v>
      </c>
      <c r="M14" s="12">
        <v>180</v>
      </c>
      <c r="N14" s="13" t="s">
        <v>2</v>
      </c>
      <c r="O14" s="14">
        <f>IF(AND(10&lt;O10,O10&lt;=20),ROUNDDOWN(M14*(O10-10),1),IF(O10&gt;20,10*M14,""))</f>
        <v>1080</v>
      </c>
      <c r="P14" s="15">
        <f>P13+M14*10</f>
        <v>2700</v>
      </c>
    </row>
    <row r="15" spans="1:17" ht="19.5" customHeight="1" x14ac:dyDescent="0.2">
      <c r="B15" s="46"/>
      <c r="C15" s="12" t="s">
        <v>16</v>
      </c>
      <c r="D15" s="13" t="s">
        <v>1</v>
      </c>
      <c r="E15" s="12">
        <v>200</v>
      </c>
      <c r="F15" s="13" t="s">
        <v>2</v>
      </c>
      <c r="G15" s="14" t="str">
        <f>IF(AND(20&lt;G10,G10&lt;=30),ROUND(E15*(G10-20),1),IF(G10&gt;30,10*E15,""))</f>
        <v/>
      </c>
      <c r="H15" s="15">
        <f>H14+E15*10</f>
        <v>4700</v>
      </c>
      <c r="I15" s="15"/>
      <c r="J15" s="46"/>
      <c r="K15" s="12" t="s">
        <v>16</v>
      </c>
      <c r="L15" s="13" t="s">
        <v>1</v>
      </c>
      <c r="M15" s="12">
        <v>200</v>
      </c>
      <c r="N15" s="13" t="s">
        <v>2</v>
      </c>
      <c r="O15" s="14" t="str">
        <f>IF(AND(20&lt;O10,O10&lt;=30),ROUNDDOWN(M15*(O10-20),1),IF(O10&gt;30,10*M15,""))</f>
        <v/>
      </c>
      <c r="P15" s="15">
        <f>P14+M15*10</f>
        <v>4700</v>
      </c>
    </row>
    <row r="16" spans="1:17" ht="19.5" customHeight="1" x14ac:dyDescent="0.2">
      <c r="B16" s="46"/>
      <c r="C16" s="12" t="s">
        <v>17</v>
      </c>
      <c r="D16" s="13" t="s">
        <v>1</v>
      </c>
      <c r="E16" s="12">
        <v>240</v>
      </c>
      <c r="F16" s="13" t="s">
        <v>2</v>
      </c>
      <c r="G16" s="14" t="str">
        <f>IF(AND(30&lt;G10,G10&lt;=50),ROUND(E16*(G10-30),1),IF(G10&gt;50,20*E16,""))</f>
        <v/>
      </c>
      <c r="H16" s="15">
        <f>H15+E16*20</f>
        <v>9500</v>
      </c>
      <c r="I16" s="15"/>
      <c r="J16" s="46"/>
      <c r="K16" s="12" t="s">
        <v>17</v>
      </c>
      <c r="L16" s="13" t="s">
        <v>1</v>
      </c>
      <c r="M16" s="12">
        <v>240</v>
      </c>
      <c r="N16" s="13" t="s">
        <v>2</v>
      </c>
      <c r="O16" s="14" t="str">
        <f>IF(AND(30&lt;O10,O10&lt;=50),ROUNDDOWN(M16*(O10-30),1),IF(O10&gt;50,20*M16,""))</f>
        <v/>
      </c>
      <c r="P16" s="15">
        <f>P15+M16*20</f>
        <v>9500</v>
      </c>
    </row>
    <row r="17" spans="2:16" ht="19.5" customHeight="1" x14ac:dyDescent="0.2">
      <c r="B17" s="46"/>
      <c r="C17" s="12" t="s">
        <v>18</v>
      </c>
      <c r="D17" s="13" t="s">
        <v>1</v>
      </c>
      <c r="E17" s="12">
        <v>260</v>
      </c>
      <c r="F17" s="13" t="s">
        <v>2</v>
      </c>
      <c r="G17" s="14" t="str">
        <f>IF(AND(50&lt;G10,G10&lt;=100),ROUNDDOWN(E17*(G10-50),1),IF(G10&gt;100,50*E17,""))</f>
        <v/>
      </c>
      <c r="H17" s="15">
        <f>H16+E17*50</f>
        <v>22500</v>
      </c>
      <c r="I17" s="15"/>
      <c r="J17" s="46"/>
      <c r="K17" s="12" t="s">
        <v>18</v>
      </c>
      <c r="L17" s="13" t="s">
        <v>1</v>
      </c>
      <c r="M17" s="12">
        <v>260</v>
      </c>
      <c r="N17" s="13" t="s">
        <v>2</v>
      </c>
      <c r="O17" s="14" t="str">
        <f>IF(AND(50&lt;O10,O10&lt;=100),ROUNDDOWN(M17*(O10-50),1),IF(O10&gt;100,50*M17,""))</f>
        <v/>
      </c>
      <c r="P17" s="15">
        <f>P16+M17*50</f>
        <v>22500</v>
      </c>
    </row>
    <row r="18" spans="2:16" ht="19.5" customHeight="1" x14ac:dyDescent="0.2">
      <c r="B18" s="46"/>
      <c r="C18" s="12" t="s">
        <v>3</v>
      </c>
      <c r="D18" s="13" t="s">
        <v>1</v>
      </c>
      <c r="E18" s="12">
        <v>280</v>
      </c>
      <c r="F18" s="13" t="s">
        <v>2</v>
      </c>
      <c r="G18" s="14" t="str">
        <f>IF(G10&gt;100,ROUNDDOWN(E18*(G10-100),1),"")</f>
        <v/>
      </c>
      <c r="J18" s="46"/>
      <c r="K18" s="12" t="s">
        <v>3</v>
      </c>
      <c r="L18" s="13" t="s">
        <v>1</v>
      </c>
      <c r="M18" s="12">
        <v>280</v>
      </c>
      <c r="N18" s="13" t="s">
        <v>2</v>
      </c>
      <c r="O18" s="14" t="str">
        <f>IF(O10&gt;100,ROUNDDOWN(M18*(O10-100),1),"")</f>
        <v/>
      </c>
    </row>
    <row r="19" spans="2:16" ht="19.5" customHeight="1" x14ac:dyDescent="0.2">
      <c r="B19" s="46"/>
      <c r="C19" s="47" t="s">
        <v>34</v>
      </c>
      <c r="D19" s="48"/>
      <c r="E19" s="48"/>
      <c r="F19" s="49"/>
      <c r="G19" s="14">
        <f>SUM(G13:G18)</f>
        <v>450</v>
      </c>
      <c r="J19" s="46"/>
      <c r="K19" s="47" t="s">
        <v>34</v>
      </c>
      <c r="L19" s="48"/>
      <c r="M19" s="48"/>
      <c r="N19" s="49"/>
      <c r="O19" s="14">
        <f>SUM(O13:O18)</f>
        <v>1980</v>
      </c>
    </row>
    <row r="20" spans="2:16" ht="19.5" customHeight="1" x14ac:dyDescent="0.2">
      <c r="B20" s="46"/>
      <c r="C20" s="47" t="s">
        <v>35</v>
      </c>
      <c r="D20" s="48"/>
      <c r="E20" s="48"/>
      <c r="F20" s="49"/>
      <c r="G20" s="16">
        <f>G19*2</f>
        <v>900</v>
      </c>
      <c r="J20" s="46"/>
      <c r="K20" s="47" t="s">
        <v>35</v>
      </c>
      <c r="L20" s="48"/>
      <c r="M20" s="48"/>
      <c r="N20" s="49"/>
      <c r="O20" s="16">
        <f>O19*2</f>
        <v>3960</v>
      </c>
    </row>
    <row r="21" spans="2:16" ht="19.5" customHeight="1" x14ac:dyDescent="0.2">
      <c r="B21" s="40" t="s">
        <v>30</v>
      </c>
      <c r="C21" s="40"/>
      <c r="D21" s="40"/>
      <c r="E21" s="40"/>
      <c r="F21" s="40"/>
      <c r="G21" s="36">
        <f>+G12+G20</f>
        <v>2200</v>
      </c>
      <c r="J21" s="40" t="s">
        <v>30</v>
      </c>
      <c r="K21" s="40"/>
      <c r="L21" s="40"/>
      <c r="M21" s="40"/>
      <c r="N21" s="40"/>
      <c r="O21" s="36">
        <f>+O12+O20</f>
        <v>5260</v>
      </c>
    </row>
    <row r="22" spans="2:16" ht="19.5" customHeight="1" thickBot="1" x14ac:dyDescent="0.25">
      <c r="B22" s="41" t="s">
        <v>24</v>
      </c>
      <c r="C22" s="42"/>
      <c r="D22" s="42"/>
      <c r="E22" s="42"/>
      <c r="F22" s="43"/>
      <c r="G22" s="17">
        <f>+G23-G21</f>
        <v>220</v>
      </c>
      <c r="J22" s="41" t="s">
        <v>24</v>
      </c>
      <c r="K22" s="42"/>
      <c r="L22" s="42"/>
      <c r="M22" s="42"/>
      <c r="N22" s="43"/>
      <c r="O22" s="17">
        <f>+O23-O21</f>
        <v>520</v>
      </c>
    </row>
    <row r="23" spans="2:16" ht="24.75" customHeight="1" thickBot="1" x14ac:dyDescent="0.25">
      <c r="B23" s="44" t="s">
        <v>11</v>
      </c>
      <c r="C23" s="45"/>
      <c r="D23" s="45"/>
      <c r="E23" s="45"/>
      <c r="F23" s="45"/>
      <c r="G23" s="18">
        <f>ROUNDDOWN(G21*1.1,-1)</f>
        <v>2420</v>
      </c>
      <c r="J23" s="44" t="s">
        <v>11</v>
      </c>
      <c r="K23" s="45"/>
      <c r="L23" s="45"/>
      <c r="M23" s="45"/>
      <c r="N23" s="45"/>
      <c r="O23" s="18">
        <f>ROUNDDOWN(O21*1.1,-1)</f>
        <v>5780</v>
      </c>
    </row>
    <row r="24" spans="2:16" ht="19.5" customHeight="1" x14ac:dyDescent="0.2">
      <c r="G24" s="19"/>
    </row>
    <row r="25" spans="2:16" ht="19.5" customHeight="1" x14ac:dyDescent="0.2">
      <c r="G25" s="19"/>
    </row>
    <row r="26" spans="2:16" ht="19.5" customHeight="1" x14ac:dyDescent="0.2">
      <c r="B26" s="20" t="s">
        <v>7</v>
      </c>
      <c r="G26" s="19"/>
    </row>
    <row r="27" spans="2:16" ht="19.5" customHeight="1" x14ac:dyDescent="0.2">
      <c r="G27" s="19"/>
    </row>
  </sheetData>
  <sheetProtection selectLockedCells="1"/>
  <mergeCells count="25">
    <mergeCell ref="B9:F9"/>
    <mergeCell ref="J9:N9"/>
    <mergeCell ref="A1:Q1"/>
    <mergeCell ref="N2:Q2"/>
    <mergeCell ref="B4:G4"/>
    <mergeCell ref="J4:O4"/>
    <mergeCell ref="J8:N8"/>
    <mergeCell ref="B10:F10"/>
    <mergeCell ref="J10:N10"/>
    <mergeCell ref="B11:F11"/>
    <mergeCell ref="J11:N11"/>
    <mergeCell ref="B12:F12"/>
    <mergeCell ref="J12:N12"/>
    <mergeCell ref="B13:B20"/>
    <mergeCell ref="J13:J20"/>
    <mergeCell ref="C19:F19"/>
    <mergeCell ref="K19:N19"/>
    <mergeCell ref="C20:F20"/>
    <mergeCell ref="K20:N20"/>
    <mergeCell ref="B21:F21"/>
    <mergeCell ref="J21:N21"/>
    <mergeCell ref="B22:F22"/>
    <mergeCell ref="J22:N22"/>
    <mergeCell ref="B23:F23"/>
    <mergeCell ref="J23:N23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27F8-EB8E-4193-920C-FD36DE3C244F}">
  <dimension ref="A1:K25"/>
  <sheetViews>
    <sheetView topLeftCell="A7" workbookViewId="0">
      <selection activeCell="O13" sqref="O13"/>
    </sheetView>
  </sheetViews>
  <sheetFormatPr defaultColWidth="9" defaultRowHeight="19.5" customHeight="1" x14ac:dyDescent="0.2"/>
  <cols>
    <col min="1" max="1" width="4.83203125" style="21" customWidth="1"/>
    <col min="2" max="2" width="3.33203125" style="21" customWidth="1"/>
    <col min="3" max="3" width="7.58203125" style="21" customWidth="1"/>
    <col min="4" max="4" width="4.33203125" style="21" customWidth="1"/>
    <col min="5" max="5" width="7.58203125" style="21" customWidth="1"/>
    <col min="6" max="6" width="6.5" style="21" bestFit="1" customWidth="1"/>
    <col min="7" max="7" width="4.5" style="21" bestFit="1" customWidth="1"/>
    <col min="8" max="8" width="6.5" style="21" bestFit="1" customWidth="1"/>
    <col min="9" max="9" width="13.75" style="21" customWidth="1"/>
    <col min="10" max="10" width="6.75" style="21" hidden="1" customWidth="1"/>
    <col min="11" max="11" width="11.08203125" style="21" customWidth="1"/>
    <col min="12" max="16384" width="9" style="21"/>
  </cols>
  <sheetData>
    <row r="1" spans="1:11" ht="19" x14ac:dyDescent="0.2">
      <c r="A1" s="74" t="s">
        <v>10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4" spans="1:11" ht="19.5" customHeight="1" x14ac:dyDescent="0.2">
      <c r="B4" s="75" t="s">
        <v>21</v>
      </c>
      <c r="C4" s="75"/>
      <c r="D4" s="75"/>
      <c r="E4" s="75"/>
      <c r="F4" s="75"/>
      <c r="G4" s="75"/>
      <c r="H4" s="75"/>
      <c r="I4" s="75"/>
    </row>
    <row r="5" spans="1:11" ht="19.5" customHeight="1" thickBot="1" x14ac:dyDescent="0.25"/>
    <row r="6" spans="1:11" ht="19.5" customHeight="1" thickBot="1" x14ac:dyDescent="0.25">
      <c r="B6" s="60" t="s">
        <v>0</v>
      </c>
      <c r="C6" s="60"/>
      <c r="D6" s="60"/>
      <c r="E6" s="60"/>
      <c r="F6" s="60"/>
      <c r="G6" s="60"/>
      <c r="H6" s="68"/>
      <c r="I6" s="1">
        <v>100</v>
      </c>
    </row>
    <row r="7" spans="1:11" ht="19.5" customHeight="1" thickBot="1" x14ac:dyDescent="0.25">
      <c r="B7" s="68" t="s">
        <v>20</v>
      </c>
      <c r="C7" s="69"/>
      <c r="D7" s="69"/>
      <c r="E7" s="69"/>
      <c r="F7" s="69"/>
      <c r="G7" s="69"/>
      <c r="H7" s="69"/>
      <c r="I7" s="2">
        <v>5</v>
      </c>
    </row>
    <row r="8" spans="1:11" ht="19.5" customHeight="1" x14ac:dyDescent="0.2">
      <c r="B8" s="60" t="s">
        <v>13</v>
      </c>
      <c r="C8" s="60"/>
      <c r="D8" s="60"/>
      <c r="E8" s="60"/>
      <c r="F8" s="60"/>
      <c r="G8" s="60"/>
      <c r="H8" s="60"/>
      <c r="I8" s="22">
        <f>I6/2</f>
        <v>50</v>
      </c>
    </row>
    <row r="9" spans="1:11" ht="19.5" customHeight="1" x14ac:dyDescent="0.2">
      <c r="B9" s="60" t="s">
        <v>25</v>
      </c>
      <c r="C9" s="60"/>
      <c r="D9" s="60"/>
      <c r="E9" s="60"/>
      <c r="F9" s="60"/>
      <c r="G9" s="60"/>
      <c r="H9" s="60"/>
      <c r="I9" s="23">
        <f>+I7*650</f>
        <v>3250</v>
      </c>
    </row>
    <row r="10" spans="1:11" ht="19.5" customHeight="1" x14ac:dyDescent="0.2">
      <c r="B10" s="60" t="s">
        <v>26</v>
      </c>
      <c r="C10" s="60"/>
      <c r="D10" s="60"/>
      <c r="E10" s="60"/>
      <c r="F10" s="60"/>
      <c r="G10" s="60"/>
      <c r="H10" s="60"/>
      <c r="I10" s="37">
        <f>+I9*2</f>
        <v>6500</v>
      </c>
    </row>
    <row r="11" spans="1:11" ht="19.5" customHeight="1" x14ac:dyDescent="0.2">
      <c r="B11" s="61" t="s">
        <v>6</v>
      </c>
      <c r="C11" s="24">
        <v>1</v>
      </c>
      <c r="D11" s="39" t="s">
        <v>19</v>
      </c>
      <c r="E11" s="25">
        <f>I7*10</f>
        <v>50</v>
      </c>
      <c r="F11" s="26" t="s">
        <v>1</v>
      </c>
      <c r="G11" s="27">
        <v>90</v>
      </c>
      <c r="H11" s="26" t="s">
        <v>2</v>
      </c>
      <c r="I11" s="28">
        <f>IF(I8&lt;=I7*10,ROUNDDOWN(I8*G11,1),G11*I7*10)</f>
        <v>4500</v>
      </c>
      <c r="J11" s="29">
        <f>G11*10</f>
        <v>900</v>
      </c>
      <c r="K11" s="29"/>
    </row>
    <row r="12" spans="1:11" ht="19.5" customHeight="1" x14ac:dyDescent="0.2">
      <c r="B12" s="61"/>
      <c r="C12" s="24">
        <f>E11+1</f>
        <v>51</v>
      </c>
      <c r="D12" s="39" t="s">
        <v>19</v>
      </c>
      <c r="E12" s="25">
        <f>I7*20</f>
        <v>100</v>
      </c>
      <c r="F12" s="26" t="s">
        <v>1</v>
      </c>
      <c r="G12" s="27">
        <v>180</v>
      </c>
      <c r="H12" s="26" t="s">
        <v>2</v>
      </c>
      <c r="I12" s="28" t="str">
        <f>IF(AND(I7*10&lt;I8,I8&lt;=I7*20),ROUNDDOWN(G12*(I8-I7*10),1),IF(I8&gt;I7*20,I7*10*G12,""))</f>
        <v/>
      </c>
      <c r="J12" s="29">
        <f>J11+G12*10</f>
        <v>2700</v>
      </c>
      <c r="K12" s="29"/>
    </row>
    <row r="13" spans="1:11" ht="19.5" customHeight="1" x14ac:dyDescent="0.2">
      <c r="B13" s="61"/>
      <c r="C13" s="24">
        <f>E12+1</f>
        <v>101</v>
      </c>
      <c r="D13" s="39" t="s">
        <v>19</v>
      </c>
      <c r="E13" s="25">
        <f>I7*30</f>
        <v>150</v>
      </c>
      <c r="F13" s="26" t="s">
        <v>1</v>
      </c>
      <c r="G13" s="27">
        <v>200</v>
      </c>
      <c r="H13" s="26" t="s">
        <v>2</v>
      </c>
      <c r="I13" s="28" t="str">
        <f>IF(AND(I7*20&lt;I8,I8&lt;=I7*30),ROUNDDOWN(G13*(I8-I7*20),1),IF(I8&gt;I7*30,I7*10*G13,""))</f>
        <v/>
      </c>
      <c r="J13" s="29">
        <f>J12+G13*10</f>
        <v>4700</v>
      </c>
      <c r="K13" s="29"/>
    </row>
    <row r="14" spans="1:11" ht="19.5" customHeight="1" x14ac:dyDescent="0.2">
      <c r="B14" s="61"/>
      <c r="C14" s="24">
        <f>E13+1</f>
        <v>151</v>
      </c>
      <c r="D14" s="39" t="s">
        <v>19</v>
      </c>
      <c r="E14" s="25">
        <f>I7*50</f>
        <v>250</v>
      </c>
      <c r="F14" s="26" t="s">
        <v>1</v>
      </c>
      <c r="G14" s="27">
        <v>240</v>
      </c>
      <c r="H14" s="26" t="s">
        <v>2</v>
      </c>
      <c r="I14" s="28" t="str">
        <f>IF(AND(I7*30&lt;I8,I8&lt;=I7*50),ROUNDDOWN(G14*(I8-I7*30),1),IF(I8&gt;I7*50,I7*20*G14,""))</f>
        <v/>
      </c>
      <c r="J14" s="29">
        <f>J13+G14*20</f>
        <v>9500</v>
      </c>
      <c r="K14" s="29"/>
    </row>
    <row r="15" spans="1:11" ht="19.5" customHeight="1" x14ac:dyDescent="0.2">
      <c r="B15" s="61"/>
      <c r="C15" s="24">
        <f>E14+1</f>
        <v>251</v>
      </c>
      <c r="D15" s="39" t="s">
        <v>19</v>
      </c>
      <c r="E15" s="25">
        <f>I7*100</f>
        <v>500</v>
      </c>
      <c r="F15" s="26" t="s">
        <v>1</v>
      </c>
      <c r="G15" s="27">
        <v>260</v>
      </c>
      <c r="H15" s="26" t="s">
        <v>2</v>
      </c>
      <c r="I15" s="28" t="str">
        <f>IF(AND(I7*50&lt;I8,I8&lt;=I7*100),ROUNDDOWN(G15*(I8-I7*50),1),IF(I8&gt;I7*100,I7*50*G15,""))</f>
        <v/>
      </c>
      <c r="J15" s="29">
        <f>J14+G15*50</f>
        <v>22500</v>
      </c>
      <c r="K15" s="29"/>
    </row>
    <row r="16" spans="1:11" ht="19.5" customHeight="1" x14ac:dyDescent="0.2">
      <c r="B16" s="61"/>
      <c r="C16" s="24">
        <f>E15+1</f>
        <v>501</v>
      </c>
      <c r="D16" s="39" t="s">
        <v>19</v>
      </c>
      <c r="E16" s="25"/>
      <c r="F16" s="26" t="s">
        <v>1</v>
      </c>
      <c r="G16" s="27">
        <v>280</v>
      </c>
      <c r="H16" s="26" t="s">
        <v>2</v>
      </c>
      <c r="I16" s="28" t="str">
        <f>IF(I8&gt;I7*100,ROUNDDOWN(G16*(I8-I7*100),1),"")</f>
        <v/>
      </c>
    </row>
    <row r="17" spans="2:9" ht="19.5" customHeight="1" x14ac:dyDescent="0.2">
      <c r="B17" s="61"/>
      <c r="C17" s="62" t="s">
        <v>27</v>
      </c>
      <c r="D17" s="63"/>
      <c r="E17" s="63"/>
      <c r="F17" s="63"/>
      <c r="G17" s="63"/>
      <c r="H17" s="64"/>
      <c r="I17" s="28">
        <f>SUM(I11:I16)</f>
        <v>4500</v>
      </c>
    </row>
    <row r="18" spans="2:9" ht="19.5" customHeight="1" x14ac:dyDescent="0.2">
      <c r="B18" s="61"/>
      <c r="C18" s="65" t="s">
        <v>28</v>
      </c>
      <c r="D18" s="66"/>
      <c r="E18" s="66"/>
      <c r="F18" s="66"/>
      <c r="G18" s="66"/>
      <c r="H18" s="67"/>
      <c r="I18" s="30">
        <f>I17*2</f>
        <v>9000</v>
      </c>
    </row>
    <row r="19" spans="2:9" ht="19.5" customHeight="1" x14ac:dyDescent="0.2">
      <c r="B19" s="68" t="s">
        <v>29</v>
      </c>
      <c r="C19" s="69"/>
      <c r="D19" s="69"/>
      <c r="E19" s="69"/>
      <c r="F19" s="69"/>
      <c r="G19" s="69"/>
      <c r="H19" s="70"/>
      <c r="I19" s="38">
        <f>+I10+I18</f>
        <v>15500</v>
      </c>
    </row>
    <row r="20" spans="2:9" ht="19.5" customHeight="1" thickBot="1" x14ac:dyDescent="0.25">
      <c r="B20" s="71" t="s">
        <v>22</v>
      </c>
      <c r="C20" s="72"/>
      <c r="D20" s="72"/>
      <c r="E20" s="72"/>
      <c r="F20" s="72"/>
      <c r="G20" s="72"/>
      <c r="H20" s="73"/>
      <c r="I20" s="31">
        <f>+I21-I19</f>
        <v>1550</v>
      </c>
    </row>
    <row r="21" spans="2:9" ht="24.75" customHeight="1" thickBot="1" x14ac:dyDescent="0.25">
      <c r="B21" s="57" t="s">
        <v>11</v>
      </c>
      <c r="C21" s="58"/>
      <c r="D21" s="58"/>
      <c r="E21" s="58"/>
      <c r="F21" s="58"/>
      <c r="G21" s="58"/>
      <c r="H21" s="59"/>
      <c r="I21" s="32">
        <f>ROUNDDOWN(I19*1.1,-1)</f>
        <v>17050</v>
      </c>
    </row>
    <row r="22" spans="2:9" ht="19.5" customHeight="1" x14ac:dyDescent="0.2">
      <c r="I22" s="33"/>
    </row>
    <row r="23" spans="2:9" ht="19.5" customHeight="1" x14ac:dyDescent="0.2">
      <c r="I23" s="33"/>
    </row>
    <row r="24" spans="2:9" ht="19.5" customHeight="1" x14ac:dyDescent="0.2">
      <c r="B24" s="34"/>
      <c r="C24" s="34"/>
      <c r="D24" s="34"/>
      <c r="I24" s="33"/>
    </row>
    <row r="25" spans="2:9" ht="19.5" customHeight="1" x14ac:dyDescent="0.2">
      <c r="I25" s="33"/>
    </row>
  </sheetData>
  <sheetProtection selectLockedCells="1"/>
  <mergeCells count="13">
    <mergeCell ref="B9:H9"/>
    <mergeCell ref="A1:K1"/>
    <mergeCell ref="B4:I4"/>
    <mergeCell ref="B6:H6"/>
    <mergeCell ref="B7:H7"/>
    <mergeCell ref="B8:H8"/>
    <mergeCell ref="B21:H21"/>
    <mergeCell ref="B10:H10"/>
    <mergeCell ref="B11:B18"/>
    <mergeCell ref="C17:H17"/>
    <mergeCell ref="C18:H18"/>
    <mergeCell ref="B19:H19"/>
    <mergeCell ref="B20:H20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試算シート(R8.4月改定)</vt:lpstr>
      <vt:lpstr>試算シート(共同住宅・R8.4月改定)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曽根 英二</cp:lastModifiedBy>
  <cp:lastPrinted>2025-12-18T09:33:46Z</cp:lastPrinted>
  <dcterms:created xsi:type="dcterms:W3CDTF">2013-11-11T23:45:55Z</dcterms:created>
  <dcterms:modified xsi:type="dcterms:W3CDTF">2026-03-19T02:13:27Z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18973</vt:lpwstr>
  </property>
  <property fmtid="{D5CDD505-2E9C-101B-9397-08002B2CF9AE}" pid="3" name="NXPowerLiteSettings">
    <vt:lpwstr>E74006B004C800</vt:lpwstr>
  </property>
  <property fmtid="{D5CDD505-2E9C-101B-9397-08002B2CF9AE}" pid="4" name="NXPowerLiteVersion">
    <vt:lpwstr>S6.2.13</vt:lpwstr>
  </property>
</Properties>
</file>